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m22svfil01\インターネット用内部フォルダ\保育幼児教育推進課\一般職用\河合宛　メールデータ\R8まとめ\R8　ベビシ一時預かり\"/>
    </mc:Choice>
  </mc:AlternateContent>
  <xr:revisionPtr revIDLastSave="0" documentId="13_ncr:1_{BEBBA353-4EA2-4841-AD69-C2D0C0F04048}" xr6:coauthVersionLast="47" xr6:coauthVersionMax="47" xr10:uidLastSave="{00000000-0000-0000-0000-000000000000}"/>
  <bookViews>
    <workbookView xWindow="-120" yWindow="-120" windowWidth="20730" windowHeight="11160" xr2:uid="{205836D6-25B0-400D-806C-096819A0F434}"/>
  </bookViews>
  <sheets>
    <sheet name="利用内訳表" sheetId="1" r:id="rId1"/>
    <sheet name="記入例" sheetId="2" r:id="rId2"/>
  </sheets>
  <definedNames>
    <definedName name="_xlnm.Print_Area" localSheetId="1">記入例!$A$1:$Z$53</definedName>
    <definedName name="_xlnm.Print_Area" localSheetId="0">利用内訳表!$A$1:$Z$53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9" i="2" l="1"/>
  <c r="I49" i="1"/>
  <c r="AB49" i="1"/>
  <c r="W49" i="1"/>
  <c r="T49" i="1"/>
  <c r="W49" i="2"/>
  <c r="T49" i="2"/>
  <c r="BL8" i="2"/>
  <c r="BL9" i="2"/>
  <c r="BL10" i="2"/>
  <c r="BL11" i="2"/>
  <c r="BL12" i="2"/>
  <c r="BL13" i="2"/>
  <c r="BL14" i="2"/>
  <c r="BL15" i="2"/>
  <c r="BL16" i="2"/>
  <c r="BL17" i="2"/>
  <c r="BL18" i="2"/>
  <c r="BL19" i="2"/>
  <c r="BL20" i="2"/>
  <c r="BL21" i="2"/>
  <c r="BL22" i="2"/>
  <c r="BL23" i="2"/>
  <c r="BL24" i="2"/>
  <c r="BL25" i="2"/>
  <c r="BL26" i="2"/>
  <c r="BL27" i="2"/>
  <c r="BL28" i="2"/>
  <c r="BL29" i="2"/>
  <c r="BL30" i="2"/>
  <c r="BL31" i="2"/>
  <c r="BL32" i="2"/>
  <c r="BL33" i="2"/>
  <c r="BL34" i="2"/>
  <c r="BL35" i="2"/>
  <c r="BL36" i="2"/>
  <c r="BL37" i="2"/>
  <c r="BL38" i="2"/>
  <c r="BL39" i="2"/>
  <c r="BL40" i="2"/>
  <c r="BL41" i="2"/>
  <c r="BL42" i="2"/>
  <c r="AT8" i="2"/>
  <c r="BB8" i="2" s="1"/>
  <c r="X47" i="2"/>
  <c r="U47" i="2"/>
  <c r="R47" i="2"/>
  <c r="AY42" i="2"/>
  <c r="AX42" i="2"/>
  <c r="AT42" i="2"/>
  <c r="BU42" i="2" s="1"/>
  <c r="AR42" i="2"/>
  <c r="AQ42" i="2" a="1"/>
  <c r="AQ42" i="2" s="1"/>
  <c r="AB42" i="2"/>
  <c r="P42" i="2"/>
  <c r="N42" i="2"/>
  <c r="BW41" i="2"/>
  <c r="BP41" i="2"/>
  <c r="BN41" i="2"/>
  <c r="BM41" i="2"/>
  <c r="BI41" i="2"/>
  <c r="BB41" i="2"/>
  <c r="BA41" i="2"/>
  <c r="BC41" i="2" s="1"/>
  <c r="BJ41" i="2" s="1"/>
  <c r="AZ41" i="2"/>
  <c r="AY41" i="2"/>
  <c r="AX41" i="2"/>
  <c r="AW41" i="2"/>
  <c r="AT41" i="2"/>
  <c r="BV41" i="2" s="1"/>
  <c r="AR41" i="2"/>
  <c r="BE41" i="2" s="1"/>
  <c r="AQ41" i="2" a="1"/>
  <c r="AQ41" i="2" s="1"/>
  <c r="AB41" i="2"/>
  <c r="AD41" i="2" s="1"/>
  <c r="P41" i="2"/>
  <c r="N41" i="2"/>
  <c r="AY40" i="2"/>
  <c r="AX40" i="2"/>
  <c r="AT40" i="2"/>
  <c r="AR40" i="2"/>
  <c r="AW40" i="2" s="1"/>
  <c r="AB40" i="2"/>
  <c r="AH40" i="2" s="1"/>
  <c r="P40" i="2"/>
  <c r="N40" i="2"/>
  <c r="BW39" i="2"/>
  <c r="BV39" i="2"/>
  <c r="AY39" i="2"/>
  <c r="AX39" i="2"/>
  <c r="AT39" i="2"/>
  <c r="BU39" i="2" s="1"/>
  <c r="AR39" i="2"/>
  <c r="AQ39" i="2" a="1"/>
  <c r="AQ39" i="2" s="1"/>
  <c r="AB39" i="2"/>
  <c r="AH39" i="2" s="1"/>
  <c r="P39" i="2"/>
  <c r="N39" i="2"/>
  <c r="BW38" i="2"/>
  <c r="BV38" i="2"/>
  <c r="BU38" i="2"/>
  <c r="BN38" i="2"/>
  <c r="AY38" i="2"/>
  <c r="AX38" i="2"/>
  <c r="AT38" i="2"/>
  <c r="BB38" i="2" s="1"/>
  <c r="AR38" i="2"/>
  <c r="BM38" i="2" s="1"/>
  <c r="AQ38" i="2" a="1"/>
  <c r="AQ38" i="2" s="1"/>
  <c r="AB38" i="2"/>
  <c r="P38" i="2"/>
  <c r="N38" i="2"/>
  <c r="AY37" i="2"/>
  <c r="AX37" i="2"/>
  <c r="AT37" i="2"/>
  <c r="BU37" i="2" s="1"/>
  <c r="AR37" i="2"/>
  <c r="BE37" i="2" s="1"/>
  <c r="AQ37" i="2" a="1"/>
  <c r="AQ37" i="2" s="1"/>
  <c r="AB37" i="2"/>
  <c r="P37" i="2"/>
  <c r="N37" i="2"/>
  <c r="BM36" i="2"/>
  <c r="AZ36" i="2"/>
  <c r="AY36" i="2"/>
  <c r="AX36" i="2"/>
  <c r="AW36" i="2"/>
  <c r="BA36" i="2" s="1"/>
  <c r="AT36" i="2"/>
  <c r="AR36" i="2"/>
  <c r="BN36" i="2" s="1"/>
  <c r="AB36" i="2"/>
  <c r="P36" i="2"/>
  <c r="N36" i="2"/>
  <c r="BW35" i="2"/>
  <c r="AY35" i="2"/>
  <c r="AX35" i="2"/>
  <c r="AT35" i="2"/>
  <c r="BV35" i="2" s="1"/>
  <c r="AR35" i="2"/>
  <c r="AQ35" i="2" a="1"/>
  <c r="AQ35" i="2" s="1"/>
  <c r="AB35" i="2"/>
  <c r="P35" i="2"/>
  <c r="N35" i="2"/>
  <c r="BM34" i="2"/>
  <c r="AY34" i="2"/>
  <c r="AX34" i="2"/>
  <c r="AT34" i="2"/>
  <c r="BW34" i="2" s="1"/>
  <c r="AR34" i="2"/>
  <c r="BE34" i="2" s="1"/>
  <c r="AQ34" i="2" a="1"/>
  <c r="AQ34" i="2" s="1"/>
  <c r="AB34" i="2"/>
  <c r="P34" i="2"/>
  <c r="N34" i="2"/>
  <c r="AY33" i="2"/>
  <c r="AX33" i="2"/>
  <c r="AT33" i="2"/>
  <c r="AR33" i="2"/>
  <c r="BM33" i="2" s="1"/>
  <c r="AB33" i="2"/>
  <c r="P33" i="2"/>
  <c r="N33" i="2"/>
  <c r="AY32" i="2"/>
  <c r="AX32" i="2"/>
  <c r="AT32" i="2"/>
  <c r="AR32" i="2"/>
  <c r="AH32" i="2"/>
  <c r="AB32" i="2"/>
  <c r="P32" i="2"/>
  <c r="N32" i="2"/>
  <c r="AY31" i="2"/>
  <c r="AX31" i="2"/>
  <c r="AT31" i="2"/>
  <c r="AR31" i="2"/>
  <c r="AB31" i="2"/>
  <c r="P31" i="2"/>
  <c r="N31" i="2"/>
  <c r="AY30" i="2"/>
  <c r="AX30" i="2"/>
  <c r="AT30" i="2"/>
  <c r="AR30" i="2"/>
  <c r="AB30" i="2"/>
  <c r="P30" i="2"/>
  <c r="N30" i="2"/>
  <c r="BN29" i="2"/>
  <c r="BM29" i="2"/>
  <c r="AY29" i="2"/>
  <c r="AX29" i="2"/>
  <c r="AT29" i="2"/>
  <c r="BV29" i="2" s="1"/>
  <c r="AR29" i="2"/>
  <c r="AQ29" i="2" a="1"/>
  <c r="AQ29" i="2" s="1"/>
  <c r="AB29" i="2"/>
  <c r="AD29" i="2" s="1"/>
  <c r="P29" i="2"/>
  <c r="N29" i="2"/>
  <c r="BW28" i="2"/>
  <c r="BV28" i="2"/>
  <c r="BU28" i="2"/>
  <c r="BE28" i="2"/>
  <c r="BD28" i="2"/>
  <c r="BB28" i="2"/>
  <c r="AY28" i="2"/>
  <c r="AX28" i="2"/>
  <c r="AT28" i="2"/>
  <c r="BX28" i="2" s="1"/>
  <c r="AR28" i="2"/>
  <c r="AB28" i="2"/>
  <c r="P28" i="2"/>
  <c r="N28" i="2"/>
  <c r="BX27" i="2"/>
  <c r="AY27" i="2"/>
  <c r="AX27" i="2"/>
  <c r="AW27" i="2"/>
  <c r="AT27" i="2"/>
  <c r="AR27" i="2"/>
  <c r="BD27" i="2" s="1"/>
  <c r="AQ27" i="2" a="1"/>
  <c r="AQ27" i="2" s="1"/>
  <c r="AD27" i="2"/>
  <c r="AB27" i="2"/>
  <c r="P27" i="2"/>
  <c r="N27" i="2"/>
  <c r="BX26" i="2"/>
  <c r="BW26" i="2"/>
  <c r="BP26" i="2"/>
  <c r="BN26" i="2"/>
  <c r="BM26" i="2"/>
  <c r="BD26" i="2"/>
  <c r="AY26" i="2"/>
  <c r="AX26" i="2"/>
  <c r="AT26" i="2"/>
  <c r="AR26" i="2"/>
  <c r="BE26" i="2" s="1"/>
  <c r="BI26" i="2" s="1"/>
  <c r="AQ26" i="2" a="1"/>
  <c r="AQ26" i="2" s="1"/>
  <c r="AB26" i="2"/>
  <c r="P26" i="2"/>
  <c r="N26" i="2"/>
  <c r="BR25" i="2"/>
  <c r="BS25" i="2" s="1"/>
  <c r="BM25" i="2"/>
  <c r="AY25" i="2"/>
  <c r="AX25" i="2"/>
  <c r="AW25" i="2"/>
  <c r="BA25" i="2" s="1"/>
  <c r="AT25" i="2"/>
  <c r="BB25" i="2" s="1"/>
  <c r="AR25" i="2"/>
  <c r="BE25" i="2" s="1"/>
  <c r="BO25" i="2" s="1"/>
  <c r="AB25" i="2"/>
  <c r="AH25" i="2" s="1"/>
  <c r="P25" i="2"/>
  <c r="N25" i="2"/>
  <c r="BN24" i="2"/>
  <c r="BM24" i="2"/>
  <c r="AZ24" i="2"/>
  <c r="AY24" i="2"/>
  <c r="AX24" i="2"/>
  <c r="AW24" i="2"/>
  <c r="BA24" i="2" s="1"/>
  <c r="AT24" i="2"/>
  <c r="AR24" i="2"/>
  <c r="AQ24" i="2" s="1" a="1"/>
  <c r="AQ24" i="2" s="1"/>
  <c r="AB24" i="2"/>
  <c r="AD24" i="2" s="1"/>
  <c r="P24" i="2"/>
  <c r="N24" i="2"/>
  <c r="AY23" i="2"/>
  <c r="AX23" i="2"/>
  <c r="AT23" i="2"/>
  <c r="BV23" i="2" s="1"/>
  <c r="AR23" i="2"/>
  <c r="AB23" i="2"/>
  <c r="AH23" i="2" s="1"/>
  <c r="P23" i="2"/>
  <c r="N23" i="2"/>
  <c r="AY22" i="2"/>
  <c r="AX22" i="2"/>
  <c r="AT22" i="2"/>
  <c r="AR22" i="2"/>
  <c r="AB22" i="2"/>
  <c r="AF22" i="2" s="1"/>
  <c r="P22" i="2"/>
  <c r="N22" i="2"/>
  <c r="BW21" i="2"/>
  <c r="BV21" i="2"/>
  <c r="BU21" i="2"/>
  <c r="BM21" i="2"/>
  <c r="BB21" i="2"/>
  <c r="AY21" i="2"/>
  <c r="AX21" i="2"/>
  <c r="AT21" i="2"/>
  <c r="BX21" i="2" s="1"/>
  <c r="AR21" i="2"/>
  <c r="BE21" i="2" s="1"/>
  <c r="AB21" i="2"/>
  <c r="P21" i="2"/>
  <c r="N21" i="2"/>
  <c r="BW20" i="2"/>
  <c r="BV20" i="2"/>
  <c r="BE20" i="2"/>
  <c r="BD20" i="2"/>
  <c r="BB20" i="2"/>
  <c r="AY20" i="2"/>
  <c r="AX20" i="2"/>
  <c r="AT20" i="2"/>
  <c r="AR20" i="2"/>
  <c r="AQ20" i="2" a="1"/>
  <c r="AQ20" i="2" s="1"/>
  <c r="AB20" i="2"/>
  <c r="P20" i="2"/>
  <c r="N20" i="2"/>
  <c r="AY19" i="2"/>
  <c r="AX19" i="2"/>
  <c r="AT19" i="2"/>
  <c r="BB19" i="2" s="1"/>
  <c r="AR19" i="2"/>
  <c r="BE19" i="2" s="1"/>
  <c r="BF19" i="2" s="1"/>
  <c r="AQ19" i="2" a="1"/>
  <c r="AQ19" i="2" s="1"/>
  <c r="AH19" i="2"/>
  <c r="AF19" i="2"/>
  <c r="AB19" i="2"/>
  <c r="AD19" i="2" s="1"/>
  <c r="P19" i="2"/>
  <c r="N19" i="2"/>
  <c r="AY18" i="2"/>
  <c r="AX18" i="2"/>
  <c r="AT18" i="2"/>
  <c r="AR18" i="2"/>
  <c r="AB18" i="2"/>
  <c r="AF18" i="2" s="1"/>
  <c r="N18" i="2"/>
  <c r="P18" i="2" s="1"/>
  <c r="AY17" i="2"/>
  <c r="AX17" i="2"/>
  <c r="AT17" i="2"/>
  <c r="AR17" i="2"/>
  <c r="AB17" i="2"/>
  <c r="AH17" i="2" s="1"/>
  <c r="N17" i="2"/>
  <c r="P17" i="2" s="1"/>
  <c r="AY16" i="2"/>
  <c r="AX16" i="2"/>
  <c r="AT16" i="2"/>
  <c r="AR16" i="2"/>
  <c r="AB16" i="2"/>
  <c r="N16" i="2"/>
  <c r="P16" i="2" s="1"/>
  <c r="AY15" i="2"/>
  <c r="AX15" i="2"/>
  <c r="AT15" i="2"/>
  <c r="AR15" i="2"/>
  <c r="AQ15" i="2" s="1" a="1"/>
  <c r="AQ15" i="2" s="1"/>
  <c r="AB15" i="2"/>
  <c r="AF15" i="2" s="1"/>
  <c r="N15" i="2"/>
  <c r="P15" i="2" s="1"/>
  <c r="AY14" i="2"/>
  <c r="AX14" i="2"/>
  <c r="AT14" i="2"/>
  <c r="AR14" i="2"/>
  <c r="AB14" i="2"/>
  <c r="AH14" i="2" s="1"/>
  <c r="N14" i="2"/>
  <c r="P14" i="2" s="1"/>
  <c r="AY13" i="2"/>
  <c r="AX13" i="2"/>
  <c r="AT13" i="2"/>
  <c r="AR13" i="2"/>
  <c r="AQ13" i="2" a="1"/>
  <c r="AQ13" i="2" s="1"/>
  <c r="AB13" i="2"/>
  <c r="AF13" i="2" s="1"/>
  <c r="N13" i="2"/>
  <c r="P13" i="2" s="1"/>
  <c r="AY12" i="2"/>
  <c r="AX12" i="2"/>
  <c r="AT12" i="2"/>
  <c r="BB12" i="2" s="1"/>
  <c r="AR12" i="2"/>
  <c r="AQ12" i="2" s="1" a="1"/>
  <c r="AQ12" i="2" s="1"/>
  <c r="AB12" i="2"/>
  <c r="N12" i="2"/>
  <c r="P12" i="2" s="1"/>
  <c r="AY11" i="2"/>
  <c r="AX11" i="2"/>
  <c r="AT11" i="2"/>
  <c r="AR11" i="2"/>
  <c r="AQ11" i="2" s="1" a="1"/>
  <c r="AQ11" i="2" s="1"/>
  <c r="AB11" i="2"/>
  <c r="AH11" i="2" s="1"/>
  <c r="N11" i="2"/>
  <c r="P11" i="2" s="1"/>
  <c r="AY10" i="2"/>
  <c r="AX10" i="2"/>
  <c r="AT10" i="2"/>
  <c r="AR10" i="2"/>
  <c r="AB10" i="2"/>
  <c r="N10" i="2"/>
  <c r="P10" i="2" s="1"/>
  <c r="BB9" i="2"/>
  <c r="AY9" i="2"/>
  <c r="AX9" i="2"/>
  <c r="AT9" i="2"/>
  <c r="AR9" i="2"/>
  <c r="AQ9" i="2" a="1"/>
  <c r="AQ9" i="2" s="1"/>
  <c r="AB9" i="2"/>
  <c r="AF9" i="2" s="1"/>
  <c r="N9" i="2"/>
  <c r="P9" i="2" s="1"/>
  <c r="AY8" i="2"/>
  <c r="AX8" i="2"/>
  <c r="AR8" i="2"/>
  <c r="AQ8" i="2" a="1"/>
  <c r="AQ8" i="2" s="1"/>
  <c r="AB8" i="2"/>
  <c r="N8" i="2"/>
  <c r="P8" i="2" s="1"/>
  <c r="AY42" i="1"/>
  <c r="AY41" i="1"/>
  <c r="AY40" i="1"/>
  <c r="AY39" i="1"/>
  <c r="AY38" i="1"/>
  <c r="AY37" i="1"/>
  <c r="AY36" i="1"/>
  <c r="AY35" i="1"/>
  <c r="AY34" i="1"/>
  <c r="AY33" i="1"/>
  <c r="AY32" i="1"/>
  <c r="AY31" i="1"/>
  <c r="AY30" i="1"/>
  <c r="AY29" i="1"/>
  <c r="AY28" i="1"/>
  <c r="AY27" i="1"/>
  <c r="AY26" i="1"/>
  <c r="AY25" i="1"/>
  <c r="AY24" i="1"/>
  <c r="AY23" i="1"/>
  <c r="AY22" i="1"/>
  <c r="AY21" i="1"/>
  <c r="AY20" i="1"/>
  <c r="AY19" i="1"/>
  <c r="AY18" i="1"/>
  <c r="AY17" i="1"/>
  <c r="AY16" i="1"/>
  <c r="AY15" i="1"/>
  <c r="AY14" i="1"/>
  <c r="AY13" i="1"/>
  <c r="AY12" i="1"/>
  <c r="AY11" i="1"/>
  <c r="AY10" i="1"/>
  <c r="AY9" i="1"/>
  <c r="AY8" i="1"/>
  <c r="AX8" i="1"/>
  <c r="AX9" i="1"/>
  <c r="AX10" i="1"/>
  <c r="AX11" i="1"/>
  <c r="AX12" i="1"/>
  <c r="AX13" i="1"/>
  <c r="AX14" i="1"/>
  <c r="AX1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T13" i="1"/>
  <c r="BB13" i="1" s="1"/>
  <c r="AR35" i="1"/>
  <c r="AQ35" i="1" s="1" a="1"/>
  <c r="AQ35" i="1" s="1"/>
  <c r="AT35" i="1"/>
  <c r="BB35" i="1" s="1"/>
  <c r="AR36" i="1"/>
  <c r="AT36" i="1"/>
  <c r="BB36" i="1" s="1"/>
  <c r="AR37" i="1"/>
  <c r="AZ37" i="1" s="1"/>
  <c r="AT37" i="1"/>
  <c r="BB37" i="1" s="1"/>
  <c r="AR38" i="1"/>
  <c r="AZ38" i="1" s="1"/>
  <c r="AT38" i="1"/>
  <c r="AW38" i="1"/>
  <c r="BA38" i="1" s="1"/>
  <c r="AR39" i="1"/>
  <c r="AW39" i="1" s="1"/>
  <c r="AT39" i="1"/>
  <c r="BB39" i="1" s="1"/>
  <c r="AR40" i="1"/>
  <c r="AZ40" i="1" s="1"/>
  <c r="AT40" i="1"/>
  <c r="AR41" i="1"/>
  <c r="BL41" i="1" s="1"/>
  <c r="AT41" i="1"/>
  <c r="BB41" i="1" s="1"/>
  <c r="AW41" i="1"/>
  <c r="AR42" i="1"/>
  <c r="AW42" i="1" s="1"/>
  <c r="BA42" i="1" s="1"/>
  <c r="AT42" i="1"/>
  <c r="AR31" i="1"/>
  <c r="AT31" i="1"/>
  <c r="BM31" i="1"/>
  <c r="AR32" i="1"/>
  <c r="BD32" i="1" s="1"/>
  <c r="AT32" i="1"/>
  <c r="AR33" i="1"/>
  <c r="BD33" i="1" s="1"/>
  <c r="AT33" i="1"/>
  <c r="BB33" i="1" s="1"/>
  <c r="AR34" i="1"/>
  <c r="AT34" i="1"/>
  <c r="AR30" i="1"/>
  <c r="AZ30" i="1" s="1"/>
  <c r="AT30" i="1"/>
  <c r="BB30" i="1" s="1"/>
  <c r="AR9" i="1"/>
  <c r="AQ9" i="1" s="1" a="1"/>
  <c r="AQ9" i="1" s="1"/>
  <c r="AT9" i="1"/>
  <c r="AR10" i="1"/>
  <c r="AT10" i="1"/>
  <c r="BB10" i="1" s="1"/>
  <c r="AR11" i="1"/>
  <c r="AT11" i="1"/>
  <c r="BB11" i="1" s="1"/>
  <c r="AR12" i="1"/>
  <c r="AT12" i="1"/>
  <c r="BT28" i="1" s="1"/>
  <c r="AR13" i="1"/>
  <c r="AR14" i="1"/>
  <c r="AT14" i="1"/>
  <c r="AR15" i="1"/>
  <c r="AW15" i="1" s="1"/>
  <c r="AT15" i="1"/>
  <c r="AR16" i="1"/>
  <c r="AQ16" i="1" s="1" a="1"/>
  <c r="AQ16" i="1" s="1"/>
  <c r="AT16" i="1"/>
  <c r="AR17" i="1"/>
  <c r="AW17" i="1" s="1"/>
  <c r="AT17" i="1"/>
  <c r="BV17" i="1" s="1"/>
  <c r="BB17" i="1"/>
  <c r="BL17" i="1"/>
  <c r="BM17" i="1"/>
  <c r="AR18" i="1"/>
  <c r="AZ18" i="1" s="1"/>
  <c r="AT18" i="1"/>
  <c r="AR19" i="1"/>
  <c r="AW19" i="1" s="1"/>
  <c r="AT19" i="1"/>
  <c r="AR20" i="1"/>
  <c r="AZ20" i="1" s="1"/>
  <c r="AT20" i="1"/>
  <c r="AR21" i="1"/>
  <c r="AZ21" i="1" s="1"/>
  <c r="AT21" i="1"/>
  <c r="AW21" i="1"/>
  <c r="AR22" i="1"/>
  <c r="AZ22" i="1" s="1"/>
  <c r="AT22" i="1"/>
  <c r="AR23" i="1"/>
  <c r="BL23" i="1" s="1"/>
  <c r="AT23" i="1"/>
  <c r="BB23" i="1" s="1"/>
  <c r="AZ23" i="1"/>
  <c r="AR24" i="1"/>
  <c r="AQ24" i="1" s="1" a="1"/>
  <c r="AQ24" i="1" s="1"/>
  <c r="AT24" i="1"/>
  <c r="AZ24" i="1"/>
  <c r="AR25" i="1"/>
  <c r="BD25" i="1" s="1"/>
  <c r="AT25" i="1"/>
  <c r="BE25" i="1" s="1"/>
  <c r="BI25" i="1" s="1"/>
  <c r="AW25" i="1"/>
  <c r="AZ25" i="1"/>
  <c r="AR26" i="1"/>
  <c r="BD26" i="1" s="1"/>
  <c r="AT26" i="1"/>
  <c r="AR27" i="1"/>
  <c r="AZ27" i="1" s="1"/>
  <c r="AT27" i="1"/>
  <c r="BB27" i="1" s="1"/>
  <c r="AR28" i="1"/>
  <c r="AW28" i="1" s="1"/>
  <c r="BA28" i="1" s="1"/>
  <c r="AT28" i="1"/>
  <c r="BB28" i="1" s="1"/>
  <c r="AZ28" i="1"/>
  <c r="BL28" i="1"/>
  <c r="BM28" i="1"/>
  <c r="AR29" i="1"/>
  <c r="BD29" i="1" s="1"/>
  <c r="AT29" i="1"/>
  <c r="AB38" i="1"/>
  <c r="AT8" i="1"/>
  <c r="BB8" i="1" s="1"/>
  <c r="AR8" i="1"/>
  <c r="AQ8" i="1" s="1" a="1"/>
  <c r="AQ8" i="1" s="1"/>
  <c r="AB27" i="1"/>
  <c r="AF27" i="1" s="1"/>
  <c r="P27" i="1"/>
  <c r="N27" i="1"/>
  <c r="AB26" i="1"/>
  <c r="P26" i="1"/>
  <c r="N26" i="1"/>
  <c r="AB25" i="1"/>
  <c r="AH25" i="1" s="1"/>
  <c r="P25" i="1"/>
  <c r="N25" i="1"/>
  <c r="AB24" i="1"/>
  <c r="AD24" i="1" s="1"/>
  <c r="P24" i="1"/>
  <c r="N24" i="1"/>
  <c r="R47" i="1"/>
  <c r="U47" i="1"/>
  <c r="X47" i="1"/>
  <c r="N8" i="1"/>
  <c r="P8" i="1" s="1"/>
  <c r="AB42" i="1"/>
  <c r="P42" i="1"/>
  <c r="N42" i="1"/>
  <c r="AB41" i="1"/>
  <c r="AD41" i="1" s="1"/>
  <c r="P41" i="1"/>
  <c r="N41" i="1"/>
  <c r="AB40" i="1"/>
  <c r="P40" i="1"/>
  <c r="N40" i="1"/>
  <c r="AB39" i="1"/>
  <c r="AF39" i="1" s="1"/>
  <c r="P39" i="1"/>
  <c r="N39" i="1"/>
  <c r="P38" i="1"/>
  <c r="N38" i="1"/>
  <c r="AB37" i="1"/>
  <c r="AF37" i="1" s="1"/>
  <c r="P37" i="1"/>
  <c r="N37" i="1"/>
  <c r="AB36" i="1"/>
  <c r="P36" i="1"/>
  <c r="N36" i="1"/>
  <c r="AB35" i="1"/>
  <c r="P35" i="1"/>
  <c r="N35" i="1"/>
  <c r="AB34" i="1"/>
  <c r="P34" i="1"/>
  <c r="N34" i="1"/>
  <c r="AB33" i="1"/>
  <c r="AF33" i="1" s="1"/>
  <c r="P33" i="1"/>
  <c r="N33" i="1"/>
  <c r="AB32" i="1"/>
  <c r="AH32" i="1" s="1"/>
  <c r="P32" i="1"/>
  <c r="N32" i="1"/>
  <c r="AB31" i="1"/>
  <c r="P31" i="1"/>
  <c r="N31" i="1"/>
  <c r="AB30" i="1"/>
  <c r="P30" i="1"/>
  <c r="N30" i="1"/>
  <c r="AB29" i="1"/>
  <c r="AF29" i="1" s="1"/>
  <c r="P29" i="1"/>
  <c r="N29" i="1"/>
  <c r="AB28" i="1"/>
  <c r="P28" i="1"/>
  <c r="N28" i="1"/>
  <c r="AB23" i="1"/>
  <c r="AF23" i="1" s="1"/>
  <c r="P23" i="1"/>
  <c r="N23" i="1"/>
  <c r="AB22" i="1"/>
  <c r="AH22" i="1" s="1"/>
  <c r="P22" i="1"/>
  <c r="N22" i="1"/>
  <c r="AB21" i="1"/>
  <c r="P21" i="1"/>
  <c r="N21" i="1"/>
  <c r="AB20" i="1"/>
  <c r="P20" i="1"/>
  <c r="N20" i="1"/>
  <c r="AB19" i="1"/>
  <c r="AH19" i="1" s="1"/>
  <c r="P19" i="1"/>
  <c r="N19" i="1"/>
  <c r="AB18" i="1"/>
  <c r="P18" i="1"/>
  <c r="N18" i="1"/>
  <c r="AB17" i="1"/>
  <c r="AF17" i="1" s="1"/>
  <c r="P17" i="1"/>
  <c r="N17" i="1"/>
  <c r="AB16" i="1"/>
  <c r="AD16" i="1" s="1"/>
  <c r="P16" i="1"/>
  <c r="N16" i="1"/>
  <c r="AB15" i="1"/>
  <c r="AF15" i="1" s="1"/>
  <c r="P15" i="1"/>
  <c r="N15" i="1"/>
  <c r="AB14" i="1"/>
  <c r="P14" i="1"/>
  <c r="N14" i="1"/>
  <c r="AB13" i="1"/>
  <c r="AF13" i="1" s="1"/>
  <c r="N13" i="1"/>
  <c r="P13" i="1" s="1"/>
  <c r="AB12" i="1"/>
  <c r="N12" i="1"/>
  <c r="P12" i="1" s="1"/>
  <c r="AB11" i="1"/>
  <c r="AF11" i="1" s="1"/>
  <c r="N11" i="1"/>
  <c r="P11" i="1" s="1"/>
  <c r="AB10" i="1"/>
  <c r="N10" i="1"/>
  <c r="P10" i="1" s="1"/>
  <c r="AB9" i="1"/>
  <c r="AH9" i="1" s="1"/>
  <c r="N9" i="1"/>
  <c r="P9" i="1" s="1"/>
  <c r="AB8" i="1"/>
  <c r="BT19" i="1" l="1"/>
  <c r="BU29" i="1"/>
  <c r="BW29" i="1" s="1"/>
  <c r="BP25" i="1"/>
  <c r="BT42" i="1"/>
  <c r="BV14" i="1"/>
  <c r="BB34" i="1"/>
  <c r="AF20" i="2"/>
  <c r="AH20" i="2"/>
  <c r="AK20" i="2" s="1"/>
  <c r="AO20" i="2" s="1"/>
  <c r="AV20" i="2" s="1"/>
  <c r="AD20" i="2"/>
  <c r="AI20" i="2" s="1"/>
  <c r="AM20" i="2" s="1"/>
  <c r="AU20" i="2" s="1"/>
  <c r="BU36" i="2"/>
  <c r="BX36" i="2"/>
  <c r="BW36" i="2"/>
  <c r="BV36" i="2"/>
  <c r="BB36" i="2"/>
  <c r="BC36" i="2" s="1"/>
  <c r="BJ36" i="2" s="1"/>
  <c r="BE31" i="2"/>
  <c r="BN31" i="2"/>
  <c r="BM31" i="2"/>
  <c r="BD31" i="2"/>
  <c r="AZ31" i="2"/>
  <c r="BE32" i="2"/>
  <c r="BN32" i="2"/>
  <c r="AZ32" i="2"/>
  <c r="AQ22" i="2" a="1"/>
  <c r="AQ22" i="2" s="1"/>
  <c r="BN22" i="2"/>
  <c r="BM22" i="2"/>
  <c r="BD22" i="2"/>
  <c r="AZ22" i="2"/>
  <c r="BB31" i="2"/>
  <c r="BX31" i="2"/>
  <c r="BW32" i="2"/>
  <c r="BB32" i="2"/>
  <c r="BW22" i="2"/>
  <c r="BB22" i="2"/>
  <c r="AW31" i="2"/>
  <c r="AW32" i="2"/>
  <c r="BA32" i="2" s="1"/>
  <c r="BC32" i="2" s="1"/>
  <c r="BJ32" i="2" s="1"/>
  <c r="BE35" i="2"/>
  <c r="BT35" i="2" s="1"/>
  <c r="BD35" i="2"/>
  <c r="AZ35" i="2"/>
  <c r="AW35" i="2"/>
  <c r="AZ17" i="2"/>
  <c r="AW22" i="2"/>
  <c r="BA22" i="2" s="1"/>
  <c r="BC22" i="2" s="1"/>
  <c r="BJ22" i="2" s="1"/>
  <c r="BE42" i="2"/>
  <c r="BD42" i="2"/>
  <c r="BQ34" i="2"/>
  <c r="BP34" i="2"/>
  <c r="BO34" i="2"/>
  <c r="BU31" i="2"/>
  <c r="BN39" i="2"/>
  <c r="BM39" i="2"/>
  <c r="BE39" i="2"/>
  <c r="BI39" i="2" s="1"/>
  <c r="BD39" i="2"/>
  <c r="AZ39" i="2"/>
  <c r="BV31" i="2"/>
  <c r="BW27" i="2"/>
  <c r="BV27" i="2"/>
  <c r="BU27" i="2"/>
  <c r="BE27" i="2"/>
  <c r="BB27" i="2"/>
  <c r="BW31" i="2"/>
  <c r="AH33" i="2"/>
  <c r="AF33" i="2"/>
  <c r="BA29" i="2"/>
  <c r="BC29" i="2" s="1"/>
  <c r="BJ29" i="2" s="1"/>
  <c r="BE23" i="2"/>
  <c r="BN23" i="2"/>
  <c r="BM23" i="2"/>
  <c r="AZ23" i="2"/>
  <c r="AW23" i="2"/>
  <c r="BA23" i="2" s="1"/>
  <c r="BN34" i="2"/>
  <c r="BX39" i="2"/>
  <c r="AD28" i="2"/>
  <c r="AI28" i="2" s="1"/>
  <c r="AM28" i="2" s="1"/>
  <c r="AU28" i="2" s="1"/>
  <c r="AW34" i="2"/>
  <c r="BA34" i="2" s="1"/>
  <c r="BC34" i="2" s="1"/>
  <c r="BJ34" i="2" s="1"/>
  <c r="AD36" i="2"/>
  <c r="AK36" i="2" s="1"/>
  <c r="AO36" i="2" s="1"/>
  <c r="AV36" i="2" s="1"/>
  <c r="AF41" i="2"/>
  <c r="AK41" i="2" s="1"/>
  <c r="AO41" i="2" s="1"/>
  <c r="AV41" i="2" s="1"/>
  <c r="AF24" i="2"/>
  <c r="AF28" i="2"/>
  <c r="AF36" i="2"/>
  <c r="AH41" i="2"/>
  <c r="BB42" i="2"/>
  <c r="AZ18" i="2"/>
  <c r="AH24" i="2"/>
  <c r="AH28" i="2"/>
  <c r="BU34" i="2"/>
  <c r="AH36" i="2"/>
  <c r="AW38" i="2"/>
  <c r="BA38" i="2" s="1"/>
  <c r="BC38" i="2" s="1"/>
  <c r="BJ38" i="2" s="1"/>
  <c r="BB39" i="2"/>
  <c r="AD40" i="2"/>
  <c r="AW29" i="2"/>
  <c r="AD32" i="2"/>
  <c r="AI32" i="2" s="1"/>
  <c r="AM32" i="2" s="1"/>
  <c r="AU32" i="2" s="1"/>
  <c r="AZ34" i="2"/>
  <c r="BV34" i="2"/>
  <c r="AD39" i="2"/>
  <c r="AI39" i="2" s="1"/>
  <c r="AM39" i="2" s="1"/>
  <c r="AU39" i="2" s="1"/>
  <c r="AF40" i="2"/>
  <c r="AI40" i="2" s="1"/>
  <c r="AM40" i="2" s="1"/>
  <c r="AU40" i="2" s="1"/>
  <c r="BV19" i="2"/>
  <c r="AQ21" i="2" a="1"/>
  <c r="AQ21" i="2" s="1"/>
  <c r="AW26" i="2"/>
  <c r="BA26" i="2" s="1"/>
  <c r="BC26" i="2" s="1"/>
  <c r="BJ26" i="2" s="1"/>
  <c r="BM27" i="2"/>
  <c r="BR27" i="2" s="1"/>
  <c r="BS27" i="2" s="1"/>
  <c r="AF32" i="2"/>
  <c r="BX34" i="2"/>
  <c r="BB37" i="2"/>
  <c r="AF39" i="2"/>
  <c r="BX41" i="2"/>
  <c r="BW19" i="2"/>
  <c r="BB34" i="2"/>
  <c r="BD37" i="2"/>
  <c r="AZ38" i="2"/>
  <c r="BX19" i="2"/>
  <c r="AD22" i="2"/>
  <c r="AF29" i="2"/>
  <c r="AZ29" i="2"/>
  <c r="BU35" i="2"/>
  <c r="BD38" i="2"/>
  <c r="AW21" i="2"/>
  <c r="BA21" i="2" s="1"/>
  <c r="BC21" i="2" s="1"/>
  <c r="BJ21" i="2" s="1"/>
  <c r="AZ26" i="2"/>
  <c r="AH29" i="2"/>
  <c r="BD34" i="2"/>
  <c r="BE36" i="2"/>
  <c r="BI36" i="2" s="1"/>
  <c r="AD18" i="2"/>
  <c r="AK18" i="2" s="1"/>
  <c r="AO18" i="2" s="1"/>
  <c r="AV18" i="2" s="1"/>
  <c r="AH18" i="2"/>
  <c r="AD17" i="2"/>
  <c r="AF17" i="2"/>
  <c r="AI17" i="2" s="1"/>
  <c r="AF14" i="2"/>
  <c r="AD14" i="2"/>
  <c r="AZ13" i="2"/>
  <c r="AD13" i="2"/>
  <c r="AH13" i="2"/>
  <c r="AD12" i="2"/>
  <c r="AF12" i="2"/>
  <c r="AH12" i="2"/>
  <c r="BE16" i="2"/>
  <c r="AD10" i="2"/>
  <c r="AF10" i="2"/>
  <c r="AH10" i="2"/>
  <c r="AD9" i="2"/>
  <c r="AT45" i="2"/>
  <c r="BW18" i="2"/>
  <c r="BW14" i="2"/>
  <c r="BB14" i="2"/>
  <c r="BB18" i="2"/>
  <c r="BB13" i="2"/>
  <c r="BE13" i="2"/>
  <c r="BW13" i="2"/>
  <c r="BW12" i="2"/>
  <c r="BB11" i="2"/>
  <c r="BW8" i="2"/>
  <c r="AZ15" i="2"/>
  <c r="AQ14" i="2" a="1"/>
  <c r="AQ14" i="2" s="1"/>
  <c r="BE12" i="2"/>
  <c r="AZ11" i="2"/>
  <c r="BE11" i="2"/>
  <c r="BE10" i="2"/>
  <c r="BW10" i="2"/>
  <c r="BB10" i="2"/>
  <c r="BE8" i="2"/>
  <c r="BT8" i="2" s="1"/>
  <c r="AZ8" i="2"/>
  <c r="BR21" i="2"/>
  <c r="BS21" i="2" s="1"/>
  <c r="BI21" i="2"/>
  <c r="BH21" i="2"/>
  <c r="BO21" i="2"/>
  <c r="BG21" i="2"/>
  <c r="BF21" i="2"/>
  <c r="BT21" i="2"/>
  <c r="BP21" i="2"/>
  <c r="BQ21" i="2"/>
  <c r="BC25" i="2"/>
  <c r="BJ25" i="2" s="1"/>
  <c r="BX30" i="2"/>
  <c r="BW30" i="2"/>
  <c r="BU30" i="2"/>
  <c r="BB30" i="2"/>
  <c r="AH16" i="2"/>
  <c r="AH42" i="2"/>
  <c r="AF42" i="2"/>
  <c r="AD42" i="2"/>
  <c r="AI42" i="2" s="1"/>
  <c r="AM42" i="2" s="1"/>
  <c r="AU42" i="2" s="1"/>
  <c r="AF34" i="2"/>
  <c r="AD34" i="2"/>
  <c r="AK34" i="2" s="1"/>
  <c r="AO34" i="2" s="1"/>
  <c r="AV34" i="2" s="1"/>
  <c r="BM20" i="2"/>
  <c r="BR20" i="2" s="1"/>
  <c r="BS20" i="2" s="1"/>
  <c r="AW20" i="2"/>
  <c r="BA20" i="2" s="1"/>
  <c r="BC20" i="2" s="1"/>
  <c r="BJ20" i="2" s="1"/>
  <c r="BP19" i="2"/>
  <c r="BQ19" i="2"/>
  <c r="BO19" i="2"/>
  <c r="AW30" i="2"/>
  <c r="BD30" i="2"/>
  <c r="AZ30" i="2"/>
  <c r="BA31" i="2"/>
  <c r="BC31" i="2" s="1"/>
  <c r="BJ31" i="2" s="1"/>
  <c r="BW33" i="2"/>
  <c r="BV33" i="2"/>
  <c r="BB33" i="2"/>
  <c r="BU33" i="2"/>
  <c r="BO42" i="2"/>
  <c r="BI42" i="2"/>
  <c r="BH42" i="2"/>
  <c r="BT42" i="2"/>
  <c r="BQ42" i="2"/>
  <c r="BP42" i="2"/>
  <c r="BU24" i="2"/>
  <c r="BX24" i="2"/>
  <c r="BW24" i="2"/>
  <c r="BV24" i="2"/>
  <c r="BB24" i="2"/>
  <c r="BC24" i="2" s="1"/>
  <c r="BJ24" i="2" s="1"/>
  <c r="BF42" i="2"/>
  <c r="BQ28" i="2"/>
  <c r="BP28" i="2"/>
  <c r="BO28" i="2"/>
  <c r="BI28" i="2"/>
  <c r="AD16" i="2"/>
  <c r="AK16" i="2" s="1"/>
  <c r="AO16" i="2" s="1"/>
  <c r="AV16" i="2" s="1"/>
  <c r="BA19" i="2"/>
  <c r="BC19" i="2" s="1"/>
  <c r="BJ19" i="2" s="1"/>
  <c r="AZ19" i="2"/>
  <c r="AQ10" i="2" a="1"/>
  <c r="AQ10" i="2" s="1"/>
  <c r="AF16" i="2"/>
  <c r="BI19" i="2"/>
  <c r="BN20" i="2"/>
  <c r="AD21" i="2"/>
  <c r="BG28" i="2"/>
  <c r="BW29" i="2"/>
  <c r="AH34" i="2"/>
  <c r="BI37" i="2"/>
  <c r="BH37" i="2"/>
  <c r="BT37" i="2"/>
  <c r="BQ37" i="2"/>
  <c r="BP37" i="2"/>
  <c r="BO37" i="2"/>
  <c r="BG37" i="2"/>
  <c r="AD8" i="2"/>
  <c r="BW9" i="2"/>
  <c r="BB16" i="2"/>
  <c r="BB17" i="2"/>
  <c r="BU20" i="2"/>
  <c r="BX20" i="2"/>
  <c r="BO20" i="2"/>
  <c r="AF21" i="2"/>
  <c r="AK21" i="2" s="1"/>
  <c r="AO21" i="2" s="1"/>
  <c r="AV21" i="2" s="1"/>
  <c r="BY21" i="2" s="1"/>
  <c r="AD23" i="2"/>
  <c r="AI23" i="2" s="1"/>
  <c r="AM23" i="2" s="1"/>
  <c r="AU23" i="2" s="1"/>
  <c r="AD26" i="2"/>
  <c r="BH28" i="2"/>
  <c r="BX29" i="2"/>
  <c r="AH31" i="2"/>
  <c r="AH35" i="2"/>
  <c r="AH37" i="2"/>
  <c r="AF37" i="2"/>
  <c r="AD37" i="2"/>
  <c r="BF37" i="2"/>
  <c r="AF8" i="2"/>
  <c r="BW11" i="2"/>
  <c r="BE14" i="2"/>
  <c r="BB15" i="2"/>
  <c r="BE18" i="2"/>
  <c r="AQ18" i="2" a="1"/>
  <c r="AQ18" i="2" s="1"/>
  <c r="BM19" i="2"/>
  <c r="BP20" i="2"/>
  <c r="AH21" i="2"/>
  <c r="AF23" i="2"/>
  <c r="AD25" i="2"/>
  <c r="AI25" i="2" s="1"/>
  <c r="AM25" i="2" s="1"/>
  <c r="AU25" i="2" s="1"/>
  <c r="BI25" i="2"/>
  <c r="AF26" i="2"/>
  <c r="AQ28" i="2" a="1"/>
  <c r="AQ28" i="2" s="1"/>
  <c r="BM28" i="2"/>
  <c r="BR28" i="2" s="1"/>
  <c r="BS28" i="2" s="1"/>
  <c r="AZ28" i="2"/>
  <c r="BN28" i="2"/>
  <c r="AW28" i="2"/>
  <c r="BA28" i="2" s="1"/>
  <c r="BC28" i="2" s="1"/>
  <c r="BJ28" i="2" s="1"/>
  <c r="BB29" i="2"/>
  <c r="BE30" i="2"/>
  <c r="AD31" i="2"/>
  <c r="AK31" i="2" s="1"/>
  <c r="AO31" i="2" s="1"/>
  <c r="AV31" i="2" s="1"/>
  <c r="AD35" i="2"/>
  <c r="AK35" i="2" s="1"/>
  <c r="AO35" i="2" s="1"/>
  <c r="AV35" i="2" s="1"/>
  <c r="BO35" i="2"/>
  <c r="BQ35" i="2"/>
  <c r="BI35" i="2"/>
  <c r="AH8" i="2"/>
  <c r="AH9" i="2"/>
  <c r="AZ14" i="2"/>
  <c r="AQ16" i="2" a="1"/>
  <c r="AQ16" i="2" s="1"/>
  <c r="BE17" i="2"/>
  <c r="AW19" i="2"/>
  <c r="BN19" i="2"/>
  <c r="BQ20" i="2"/>
  <c r="AI21" i="2"/>
  <c r="AM21" i="2" s="1"/>
  <c r="AU21" i="2" s="1"/>
  <c r="AF25" i="2"/>
  <c r="AH26" i="2"/>
  <c r="BG26" i="2"/>
  <c r="AH27" i="2"/>
  <c r="AF27" i="2"/>
  <c r="AI27" i="2" s="1"/>
  <c r="AM27" i="2" s="1"/>
  <c r="AU27" i="2" s="1"/>
  <c r="AF31" i="2"/>
  <c r="BI34" i="2"/>
  <c r="BH34" i="2"/>
  <c r="BT34" i="2"/>
  <c r="BF34" i="2"/>
  <c r="BG34" i="2"/>
  <c r="BR34" i="2"/>
  <c r="BS34" i="2" s="1"/>
  <c r="AF35" i="2"/>
  <c r="AQ40" i="2" a="1"/>
  <c r="AQ40" i="2" s="1"/>
  <c r="BA40" i="2"/>
  <c r="BN40" i="2"/>
  <c r="AZ40" i="2"/>
  <c r="BM40" i="2"/>
  <c r="BE40" i="2"/>
  <c r="BD40" i="2"/>
  <c r="AH15" i="2"/>
  <c r="BH19" i="2"/>
  <c r="BH20" i="2"/>
  <c r="BF28" i="2"/>
  <c r="BU29" i="2"/>
  <c r="BI4" i="2"/>
  <c r="AK19" i="2"/>
  <c r="AO19" i="2" s="1"/>
  <c r="AV19" i="2" s="1"/>
  <c r="AI19" i="2"/>
  <c r="AM19" i="2" s="1"/>
  <c r="AU19" i="2" s="1"/>
  <c r="BR19" i="2"/>
  <c r="BS19" i="2" s="1"/>
  <c r="AZ20" i="2"/>
  <c r="BH23" i="2"/>
  <c r="AK24" i="2"/>
  <c r="AO24" i="2" s="1"/>
  <c r="AV24" i="2" s="1"/>
  <c r="BH26" i="2"/>
  <c r="BT28" i="2"/>
  <c r="BT31" i="2"/>
  <c r="BG20" i="2"/>
  <c r="BI20" i="2"/>
  <c r="BV30" i="2"/>
  <c r="BG19" i="2"/>
  <c r="BK4" i="2"/>
  <c r="AF11" i="2"/>
  <c r="AD11" i="2"/>
  <c r="BE15" i="2"/>
  <c r="BW15" i="2"/>
  <c r="AZ16" i="2"/>
  <c r="BW16" i="2"/>
  <c r="AQ17" i="2" a="1"/>
  <c r="AQ17" i="2" s="1"/>
  <c r="BT27" i="2"/>
  <c r="BF27" i="2"/>
  <c r="BQ27" i="2"/>
  <c r="BP27" i="2"/>
  <c r="BO27" i="2"/>
  <c r="AH38" i="2"/>
  <c r="AF38" i="2"/>
  <c r="AD15" i="2"/>
  <c r="BF20" i="2"/>
  <c r="BT19" i="2"/>
  <c r="BT20" i="2"/>
  <c r="BP23" i="2"/>
  <c r="BG23" i="2"/>
  <c r="BF23" i="2"/>
  <c r="BT23" i="2"/>
  <c r="BH25" i="2"/>
  <c r="BG25" i="2"/>
  <c r="BF25" i="2"/>
  <c r="BT25" i="2"/>
  <c r="BP25" i="2"/>
  <c r="BO26" i="2"/>
  <c r="BF26" i="2"/>
  <c r="BT26" i="2"/>
  <c r="BR26" i="2"/>
  <c r="BS26" i="2" s="1"/>
  <c r="BQ26" i="2"/>
  <c r="AQ30" i="2" a="1"/>
  <c r="AQ30" i="2" s="1"/>
  <c r="BM30" i="2"/>
  <c r="AD38" i="2"/>
  <c r="AI38" i="2" s="1"/>
  <c r="AM38" i="2" s="1"/>
  <c r="AU38" i="2" s="1"/>
  <c r="BB40" i="2"/>
  <c r="BX40" i="2"/>
  <c r="BW40" i="2"/>
  <c r="BV40" i="2"/>
  <c r="BU40" i="2"/>
  <c r="BG42" i="2"/>
  <c r="BE9" i="2"/>
  <c r="AZ9" i="2"/>
  <c r="AZ10" i="2"/>
  <c r="AZ12" i="2"/>
  <c r="AK14" i="2"/>
  <c r="AO14" i="2" s="1"/>
  <c r="AV14" i="2" s="1"/>
  <c r="AI14" i="2"/>
  <c r="AM14" i="2" s="1"/>
  <c r="AU14" i="2" s="1"/>
  <c r="AW14" i="2" s="1"/>
  <c r="BW17" i="2"/>
  <c r="BD19" i="2"/>
  <c r="BU19" i="2"/>
  <c r="BD21" i="2"/>
  <c r="BN21" i="2"/>
  <c r="AZ21" i="2"/>
  <c r="AH22" i="2"/>
  <c r="BV25" i="2"/>
  <c r="BX25" i="2"/>
  <c r="BW25" i="2"/>
  <c r="BU25" i="2"/>
  <c r="BQ25" i="2"/>
  <c r="BV26" i="2"/>
  <c r="BU26" i="2"/>
  <c r="BB26" i="2"/>
  <c r="BA27" i="2"/>
  <c r="AZ27" i="2"/>
  <c r="BN27" i="2"/>
  <c r="BE29" i="2"/>
  <c r="BN30" i="2"/>
  <c r="BH32" i="2"/>
  <c r="BG32" i="2"/>
  <c r="BI32" i="2"/>
  <c r="BF32" i="2"/>
  <c r="BQ32" i="2"/>
  <c r="BD33" i="2"/>
  <c r="AQ33" i="2" a="1"/>
  <c r="AQ33" i="2" s="1"/>
  <c r="BN33" i="2"/>
  <c r="AZ33" i="2"/>
  <c r="BE33" i="2"/>
  <c r="AW33" i="2"/>
  <c r="BX33" i="2"/>
  <c r="BF36" i="2"/>
  <c r="BR36" i="2"/>
  <c r="BS36" i="2" s="1"/>
  <c r="BQ36" i="2"/>
  <c r="BU22" i="2"/>
  <c r="AQ23" i="2" a="1"/>
  <c r="AQ23" i="2" s="1"/>
  <c r="BD23" i="2"/>
  <c r="AH30" i="2"/>
  <c r="AF30" i="2"/>
  <c r="BD32" i="2"/>
  <c r="BA35" i="2"/>
  <c r="BC35" i="2" s="1"/>
  <c r="BJ35" i="2" s="1"/>
  <c r="BM35" i="2"/>
  <c r="BR35" i="2" s="1"/>
  <c r="BS35" i="2" s="1"/>
  <c r="BN37" i="2"/>
  <c r="AZ37" i="2"/>
  <c r="BM37" i="2"/>
  <c r="BR37" i="2" s="1"/>
  <c r="BS37" i="2" s="1"/>
  <c r="AW37" i="2"/>
  <c r="BA37" i="2" s="1"/>
  <c r="BC37" i="2" s="1"/>
  <c r="BJ37" i="2" s="1"/>
  <c r="BX38" i="2"/>
  <c r="BN42" i="2"/>
  <c r="AZ42" i="2"/>
  <c r="BM42" i="2"/>
  <c r="BR42" i="2" s="1"/>
  <c r="BS42" i="2" s="1"/>
  <c r="AW42" i="2"/>
  <c r="BA42" i="2" s="1"/>
  <c r="BC42" i="2" s="1"/>
  <c r="BJ42" i="2" s="1"/>
  <c r="AB44" i="2"/>
  <c r="BE22" i="2"/>
  <c r="BV22" i="2"/>
  <c r="BU23" i="2"/>
  <c r="BD24" i="2"/>
  <c r="BD25" i="2"/>
  <c r="AD30" i="2"/>
  <c r="AQ32" i="2" a="1"/>
  <c r="AQ32" i="2" s="1"/>
  <c r="BB35" i="2"/>
  <c r="BX35" i="2"/>
  <c r="BX37" i="2"/>
  <c r="BW37" i="2"/>
  <c r="BV37" i="2"/>
  <c r="AW39" i="2"/>
  <c r="AK40" i="2"/>
  <c r="AO40" i="2" s="1"/>
  <c r="AV40" i="2" s="1"/>
  <c r="BH41" i="2"/>
  <c r="BG41" i="2"/>
  <c r="BT41" i="2"/>
  <c r="BF41" i="2"/>
  <c r="BR41" i="2"/>
  <c r="BS41" i="2" s="1"/>
  <c r="BQ41" i="2"/>
  <c r="BO41" i="2"/>
  <c r="BX42" i="2"/>
  <c r="BW42" i="2"/>
  <c r="BV42" i="2"/>
  <c r="BX22" i="2"/>
  <c r="BE24" i="2"/>
  <c r="AQ25" i="2" a="1"/>
  <c r="AQ25" i="2" s="1"/>
  <c r="BB23" i="2"/>
  <c r="BC23" i="2" s="1"/>
  <c r="BJ23" i="2" s="1"/>
  <c r="BX23" i="2"/>
  <c r="BW23" i="2"/>
  <c r="BM32" i="2"/>
  <c r="BR32" i="2" s="1"/>
  <c r="BS32" i="2" s="1"/>
  <c r="AD33" i="2"/>
  <c r="BN35" i="2"/>
  <c r="BN25" i="2"/>
  <c r="AZ25" i="2"/>
  <c r="BX32" i="2"/>
  <c r="BV32" i="2"/>
  <c r="BU32" i="2"/>
  <c r="BE38" i="2"/>
  <c r="BD29" i="2"/>
  <c r="AQ36" i="2" a="1"/>
  <c r="AQ36" i="2" s="1"/>
  <c r="BD41" i="2"/>
  <c r="AQ31" i="2" a="1"/>
  <c r="AQ31" i="2" s="1"/>
  <c r="BD36" i="2"/>
  <c r="BU41" i="2"/>
  <c r="AW24" i="1"/>
  <c r="BA24" i="1" s="1"/>
  <c r="AZ17" i="1"/>
  <c r="BM41" i="1"/>
  <c r="AZ9" i="1"/>
  <c r="AW26" i="1"/>
  <c r="BA26" i="1" s="1"/>
  <c r="AW18" i="1"/>
  <c r="BA18" i="1" s="1"/>
  <c r="AQ28" i="1" a="1"/>
  <c r="AQ28" i="1" s="1"/>
  <c r="BL27" i="1"/>
  <c r="BL18" i="1"/>
  <c r="BL42" i="1"/>
  <c r="BL35" i="1"/>
  <c r="BE27" i="1"/>
  <c r="BM24" i="1"/>
  <c r="BV21" i="1"/>
  <c r="BE18" i="1"/>
  <c r="BD42" i="1"/>
  <c r="BD35" i="1"/>
  <c r="BV28" i="1"/>
  <c r="BW28" i="1" s="1"/>
  <c r="BD27" i="1"/>
  <c r="BL24" i="1"/>
  <c r="BU21" i="1"/>
  <c r="BW21" i="1" s="1"/>
  <c r="BD18" i="1"/>
  <c r="AW33" i="1"/>
  <c r="BA33" i="1" s="1"/>
  <c r="BC33" i="1" s="1"/>
  <c r="BJ33" i="1" s="1"/>
  <c r="AZ42" i="1"/>
  <c r="AZ35" i="1"/>
  <c r="BU28" i="1"/>
  <c r="BD24" i="1"/>
  <c r="BB18" i="1"/>
  <c r="AW16" i="1"/>
  <c r="BA16" i="1" s="1"/>
  <c r="BB29" i="1"/>
  <c r="BL16" i="1"/>
  <c r="AZ29" i="1"/>
  <c r="BA21" i="1"/>
  <c r="BD16" i="1"/>
  <c r="AW29" i="1"/>
  <c r="BA29" i="1" s="1"/>
  <c r="BL25" i="1"/>
  <c r="BQ25" i="1" s="1"/>
  <c r="BR25" i="1" s="1"/>
  <c r="BE23" i="1"/>
  <c r="BN23" i="1" s="1"/>
  <c r="AW20" i="1"/>
  <c r="BA20" i="1" s="1"/>
  <c r="AZ16" i="1"/>
  <c r="BM42" i="1"/>
  <c r="AQ29" i="1" a="1"/>
  <c r="AQ29" i="1" s="1"/>
  <c r="BE11" i="1"/>
  <c r="BV29" i="1"/>
  <c r="BE29" i="1"/>
  <c r="BT29" i="1"/>
  <c r="BM29" i="1"/>
  <c r="BL29" i="1"/>
  <c r="AQ42" i="1" a="1"/>
  <c r="AQ42" i="1" s="1"/>
  <c r="BM16" i="1"/>
  <c r="BB31" i="1"/>
  <c r="BT15" i="1"/>
  <c r="BU15" i="1" s="1"/>
  <c r="BW15" i="1" s="1"/>
  <c r="BB15" i="1"/>
  <c r="BD34" i="1"/>
  <c r="AW34" i="1"/>
  <c r="BA34" i="1" s="1"/>
  <c r="BC34" i="1" s="1"/>
  <c r="BJ34" i="1" s="1"/>
  <c r="AZ34" i="1"/>
  <c r="BL34" i="1"/>
  <c r="BM34" i="1"/>
  <c r="BV40" i="1"/>
  <c r="BL31" i="1"/>
  <c r="AW31" i="1"/>
  <c r="BA31" i="1" s="1"/>
  <c r="AZ31" i="1"/>
  <c r="BD31" i="1"/>
  <c r="AW14" i="1"/>
  <c r="BA14" i="1" s="1"/>
  <c r="AZ14" i="1"/>
  <c r="BD14" i="1"/>
  <c r="BE14" i="1"/>
  <c r="AQ31" i="1" a="1"/>
  <c r="AQ31" i="1" s="1"/>
  <c r="BB22" i="1"/>
  <c r="AW36" i="1"/>
  <c r="BA36" i="1" s="1"/>
  <c r="BC36" i="1" s="1"/>
  <c r="BJ36" i="1" s="1"/>
  <c r="BM36" i="1"/>
  <c r="AQ36" i="1" a="1"/>
  <c r="AQ36" i="1" s="1"/>
  <c r="BK4" i="1"/>
  <c r="AZ8" i="1"/>
  <c r="BT21" i="1"/>
  <c r="BM21" i="1"/>
  <c r="AQ21" i="1" a="1"/>
  <c r="AQ21" i="1" s="1"/>
  <c r="BM22" i="1"/>
  <c r="BL21" i="1"/>
  <c r="BM20" i="1"/>
  <c r="BB14" i="1"/>
  <c r="BL38" i="1"/>
  <c r="BL22" i="1"/>
  <c r="BE21" i="1"/>
  <c r="BL20" i="1"/>
  <c r="BD38" i="1"/>
  <c r="BT26" i="1"/>
  <c r="BU26" i="1" s="1"/>
  <c r="BW26" i="1" s="1"/>
  <c r="BD21" i="1"/>
  <c r="BD20" i="1"/>
  <c r="BU18" i="1"/>
  <c r="AW35" i="1"/>
  <c r="BA35" i="1" s="1"/>
  <c r="BC35" i="1" s="1"/>
  <c r="BJ35" i="1" s="1"/>
  <c r="BB26" i="1"/>
  <c r="BC26" i="1" s="1"/>
  <c r="BJ26" i="1" s="1"/>
  <c r="BM23" i="1"/>
  <c r="BB21" i="1"/>
  <c r="BM18" i="1"/>
  <c r="AQ18" i="1" a="1"/>
  <c r="AQ18" i="1" s="1"/>
  <c r="BV16" i="1"/>
  <c r="BI4" i="1"/>
  <c r="BE31" i="1"/>
  <c r="AZ12" i="1"/>
  <c r="BV11" i="1"/>
  <c r="BE24" i="1"/>
  <c r="BT20" i="1"/>
  <c r="BU20" i="1" s="1"/>
  <c r="BW20" i="1" s="1"/>
  <c r="BE16" i="1"/>
  <c r="BB24" i="1"/>
  <c r="BV12" i="1"/>
  <c r="BW33" i="1"/>
  <c r="BT36" i="1"/>
  <c r="BU36" i="1" s="1"/>
  <c r="BW36" i="1" s="1"/>
  <c r="BB16" i="1"/>
  <c r="BC16" i="1" s="1"/>
  <c r="BJ16" i="1" s="1"/>
  <c r="BV33" i="1"/>
  <c r="BV31" i="1"/>
  <c r="BV34" i="1"/>
  <c r="BB20" i="1"/>
  <c r="BV18" i="1"/>
  <c r="BW18" i="1" s="1"/>
  <c r="BU33" i="1"/>
  <c r="BV20" i="1"/>
  <c r="BV26" i="1"/>
  <c r="BV13" i="1"/>
  <c r="BV36" i="1"/>
  <c r="BT18" i="1"/>
  <c r="BB12" i="1"/>
  <c r="BB19" i="1"/>
  <c r="BV9" i="1"/>
  <c r="BV32" i="1"/>
  <c r="BT38" i="1"/>
  <c r="BU38" i="1"/>
  <c r="BW38" i="1" s="1"/>
  <c r="BV38" i="1"/>
  <c r="BM26" i="1"/>
  <c r="BM19" i="1"/>
  <c r="AZ10" i="1"/>
  <c r="BE10" i="1"/>
  <c r="AQ26" i="1" a="1"/>
  <c r="AQ26" i="1" s="1"/>
  <c r="BL19" i="1"/>
  <c r="AQ10" i="1" a="1"/>
  <c r="AQ10" i="1" s="1"/>
  <c r="BD30" i="1"/>
  <c r="AQ30" i="1" a="1"/>
  <c r="AQ30" i="1" s="1"/>
  <c r="BE30" i="1"/>
  <c r="AW30" i="1"/>
  <c r="BA30" i="1" s="1"/>
  <c r="BC30" i="1" s="1"/>
  <c r="BJ30" i="1" s="1"/>
  <c r="AQ33" i="1" a="1"/>
  <c r="AQ33" i="1" s="1"/>
  <c r="AZ39" i="1"/>
  <c r="BD39" i="1"/>
  <c r="BL39" i="1"/>
  <c r="AQ39" i="1" a="1"/>
  <c r="AQ39" i="1" s="1"/>
  <c r="BM39" i="1"/>
  <c r="BL37" i="1"/>
  <c r="AZ15" i="1"/>
  <c r="BA15" i="1"/>
  <c r="BC15" i="1" s="1"/>
  <c r="BJ15" i="1" s="1"/>
  <c r="BE15" i="1"/>
  <c r="BL15" i="1"/>
  <c r="AQ15" i="1" a="1"/>
  <c r="AQ15" i="1" s="1"/>
  <c r="BM15" i="1"/>
  <c r="BV10" i="1"/>
  <c r="BV30" i="1"/>
  <c r="BM33" i="1"/>
  <c r="BD37" i="1"/>
  <c r="BE26" i="1"/>
  <c r="BV25" i="1"/>
  <c r="BV22" i="1"/>
  <c r="BV15" i="1"/>
  <c r="BL33" i="1"/>
  <c r="AW40" i="1"/>
  <c r="BA40" i="1" s="1"/>
  <c r="BD40" i="1"/>
  <c r="BL40" i="1"/>
  <c r="BM40" i="1"/>
  <c r="BV23" i="1"/>
  <c r="BD23" i="1"/>
  <c r="AW23" i="1"/>
  <c r="BA23" i="1" s="1"/>
  <c r="BC23" i="1" s="1"/>
  <c r="BJ23" i="1" s="1"/>
  <c r="AW22" i="1"/>
  <c r="BA22" i="1" s="1"/>
  <c r="BD22" i="1"/>
  <c r="BE22" i="1"/>
  <c r="BE9" i="1"/>
  <c r="BE33" i="1"/>
  <c r="BE32" i="1"/>
  <c r="AZ41" i="1"/>
  <c r="BD41" i="1"/>
  <c r="AQ23" i="1" a="1"/>
  <c r="AQ23" i="1" s="1"/>
  <c r="BM14" i="1"/>
  <c r="BM30" i="1"/>
  <c r="AQ40" i="1" a="1"/>
  <c r="AQ40" i="1" s="1"/>
  <c r="BV27" i="1"/>
  <c r="AQ22" i="1" a="1"/>
  <c r="AQ22" i="1" s="1"/>
  <c r="BV19" i="1"/>
  <c r="BT17" i="1"/>
  <c r="BU17" i="1"/>
  <c r="BW17" i="1" s="1"/>
  <c r="BD15" i="1"/>
  <c r="BL14" i="1"/>
  <c r="AQ14" i="1" a="1"/>
  <c r="AQ14" i="1" s="1"/>
  <c r="AZ11" i="1"/>
  <c r="BB9" i="1"/>
  <c r="BL30" i="1"/>
  <c r="BB32" i="1"/>
  <c r="AQ41" i="1" a="1"/>
  <c r="AQ41" i="1" s="1"/>
  <c r="BA39" i="1"/>
  <c r="BC39" i="1" s="1"/>
  <c r="BJ39" i="1" s="1"/>
  <c r="BT37" i="1"/>
  <c r="BU37" i="1" s="1"/>
  <c r="BW37" i="1" s="1"/>
  <c r="BD19" i="1"/>
  <c r="AQ19" i="1" a="1"/>
  <c r="AQ19" i="1" s="1"/>
  <c r="BE19" i="1"/>
  <c r="AZ19" i="1"/>
  <c r="BA19" i="1"/>
  <c r="AW37" i="1"/>
  <c r="BA37" i="1" s="1"/>
  <c r="BC37" i="1" s="1"/>
  <c r="BJ37" i="1" s="1"/>
  <c r="BM37" i="1"/>
  <c r="AQ37" i="1" a="1"/>
  <c r="AQ37" i="1" s="1"/>
  <c r="BL26" i="1"/>
  <c r="AZ26" i="1"/>
  <c r="BB25" i="1"/>
  <c r="BT25" i="1"/>
  <c r="BU25" i="1"/>
  <c r="BW25" i="1" s="1"/>
  <c r="AQ11" i="1" a="1"/>
  <c r="AQ11" i="1" s="1"/>
  <c r="BT33" i="1"/>
  <c r="AZ33" i="1"/>
  <c r="AW32" i="1"/>
  <c r="BA32" i="1" s="1"/>
  <c r="AQ32" i="1" a="1"/>
  <c r="AQ32" i="1" s="1"/>
  <c r="BL32" i="1"/>
  <c r="BM32" i="1"/>
  <c r="BD28" i="1"/>
  <c r="BE28" i="1"/>
  <c r="AW27" i="1"/>
  <c r="BA27" i="1" s="1"/>
  <c r="BC27" i="1" s="1"/>
  <c r="BJ27" i="1" s="1"/>
  <c r="AQ27" i="1" a="1"/>
  <c r="AQ27" i="1" s="1"/>
  <c r="BM27" i="1"/>
  <c r="BU19" i="1"/>
  <c r="BW19" i="1" s="1"/>
  <c r="BD17" i="1"/>
  <c r="AQ17" i="1" a="1"/>
  <c r="AQ17" i="1" s="1"/>
  <c r="BE17" i="1"/>
  <c r="BE13" i="1"/>
  <c r="AQ13" i="1" a="1"/>
  <c r="AQ13" i="1" s="1"/>
  <c r="AZ13" i="1"/>
  <c r="BE12" i="1"/>
  <c r="AQ12" i="1" a="1"/>
  <c r="AQ12" i="1" s="1"/>
  <c r="AZ32" i="1"/>
  <c r="AQ38" i="1" a="1"/>
  <c r="AQ38" i="1" s="1"/>
  <c r="BM38" i="1"/>
  <c r="AQ25" i="1" a="1"/>
  <c r="AQ25" i="1" s="1"/>
  <c r="BV24" i="1"/>
  <c r="AQ20" i="1" a="1"/>
  <c r="AQ20" i="1" s="1"/>
  <c r="BE20" i="1"/>
  <c r="AZ36" i="1"/>
  <c r="BD36" i="1"/>
  <c r="BL36" i="1"/>
  <c r="BM25" i="1"/>
  <c r="BT14" i="1"/>
  <c r="BU14" i="1"/>
  <c r="BW14" i="1" s="1"/>
  <c r="AQ34" i="1" a="1"/>
  <c r="AQ34" i="1" s="1"/>
  <c r="BE34" i="1"/>
  <c r="BT35" i="1"/>
  <c r="BU35" i="1" s="1"/>
  <c r="BW35" i="1" s="1"/>
  <c r="BM35" i="1"/>
  <c r="BE42" i="1"/>
  <c r="BB42" i="1"/>
  <c r="BC42" i="1" s="1"/>
  <c r="BJ42" i="1" s="1"/>
  <c r="BV41" i="1"/>
  <c r="BE41" i="1"/>
  <c r="BE40" i="1"/>
  <c r="BW42" i="1"/>
  <c r="BU41" i="1"/>
  <c r="BW41" i="1" s="1"/>
  <c r="BE38" i="1"/>
  <c r="BV42" i="1"/>
  <c r="BT41" i="1"/>
  <c r="BB40" i="1"/>
  <c r="BV39" i="1"/>
  <c r="BE39" i="1"/>
  <c r="BE36" i="1"/>
  <c r="BU42" i="1"/>
  <c r="BA41" i="1"/>
  <c r="BC41" i="1" s="1"/>
  <c r="BJ41" i="1" s="1"/>
  <c r="BB38" i="1"/>
  <c r="BC38" i="1" s="1"/>
  <c r="BJ38" i="1" s="1"/>
  <c r="BV37" i="1"/>
  <c r="BE37" i="1"/>
  <c r="BT39" i="1"/>
  <c r="BU39" i="1" s="1"/>
  <c r="BW39" i="1" s="1"/>
  <c r="BV35" i="1"/>
  <c r="BE35" i="1"/>
  <c r="BN33" i="1"/>
  <c r="BC28" i="1"/>
  <c r="BJ28" i="1" s="1"/>
  <c r="BN25" i="1"/>
  <c r="BF25" i="1"/>
  <c r="BS25" i="1"/>
  <c r="BO25" i="1"/>
  <c r="BA17" i="1"/>
  <c r="BC17" i="1" s="1"/>
  <c r="BJ17" i="1" s="1"/>
  <c r="BG25" i="1"/>
  <c r="BH25" i="1"/>
  <c r="BN18" i="1"/>
  <c r="BA25" i="1"/>
  <c r="BE8" i="1"/>
  <c r="BS8" i="1" s="1"/>
  <c r="BV8" i="1"/>
  <c r="AF24" i="1"/>
  <c r="AH24" i="1"/>
  <c r="AH27" i="1"/>
  <c r="AF26" i="1"/>
  <c r="AD25" i="1"/>
  <c r="AH26" i="1"/>
  <c r="AD27" i="1"/>
  <c r="AF25" i="1"/>
  <c r="AD26" i="1"/>
  <c r="AF22" i="1"/>
  <c r="AD22" i="1"/>
  <c r="AF16" i="1"/>
  <c r="AH16" i="1"/>
  <c r="AH39" i="1"/>
  <c r="AF32" i="1"/>
  <c r="AH11" i="1"/>
  <c r="AD15" i="1"/>
  <c r="AD21" i="1"/>
  <c r="AH15" i="1"/>
  <c r="AF21" i="1"/>
  <c r="AH23" i="1"/>
  <c r="AD10" i="1"/>
  <c r="AH21" i="1"/>
  <c r="AD31" i="1"/>
  <c r="AH33" i="1"/>
  <c r="AF10" i="1"/>
  <c r="AF31" i="1"/>
  <c r="AD37" i="1"/>
  <c r="AD32" i="1"/>
  <c r="AD38" i="1"/>
  <c r="AF38" i="1"/>
  <c r="AH17" i="1"/>
  <c r="AH38" i="1"/>
  <c r="AH10" i="1"/>
  <c r="AH31" i="1"/>
  <c r="AH37" i="1"/>
  <c r="AD9" i="1"/>
  <c r="AF9" i="1"/>
  <c r="AT45" i="1"/>
  <c r="AF14" i="1"/>
  <c r="AH14" i="1"/>
  <c r="AD14" i="1"/>
  <c r="AH42" i="1"/>
  <c r="AF42" i="1"/>
  <c r="AD42" i="1"/>
  <c r="AB44" i="1"/>
  <c r="AH8" i="1"/>
  <c r="AF8" i="1"/>
  <c r="AF30" i="1"/>
  <c r="AH30" i="1"/>
  <c r="AD30" i="1"/>
  <c r="AD8" i="1"/>
  <c r="AH20" i="1"/>
  <c r="AF20" i="1"/>
  <c r="AD20" i="1"/>
  <c r="AH36" i="1"/>
  <c r="AF36" i="1"/>
  <c r="AD36" i="1"/>
  <c r="AD35" i="1"/>
  <c r="AF19" i="1"/>
  <c r="AF35" i="1"/>
  <c r="AF41" i="1"/>
  <c r="AH13" i="1"/>
  <c r="AD18" i="1"/>
  <c r="AD28" i="1"/>
  <c r="AH29" i="1"/>
  <c r="AD34" i="1"/>
  <c r="AH35" i="1"/>
  <c r="AD40" i="1"/>
  <c r="AH41" i="1"/>
  <c r="AF12" i="1"/>
  <c r="AF18" i="1"/>
  <c r="AF28" i="1"/>
  <c r="AD11" i="1"/>
  <c r="AH12" i="1"/>
  <c r="AD17" i="1"/>
  <c r="AH18" i="1"/>
  <c r="AD23" i="1"/>
  <c r="AH28" i="1"/>
  <c r="AD33" i="1"/>
  <c r="AH34" i="1"/>
  <c r="AD39" i="1"/>
  <c r="AH40" i="1"/>
  <c r="AD13" i="1"/>
  <c r="AD19" i="1"/>
  <c r="AD29" i="1"/>
  <c r="AD12" i="1"/>
  <c r="AF34" i="1"/>
  <c r="AF40" i="1"/>
  <c r="BC24" i="1" l="1"/>
  <c r="BJ24" i="1" s="1"/>
  <c r="BC18" i="1"/>
  <c r="BJ18" i="1" s="1"/>
  <c r="BX39" i="1"/>
  <c r="BN29" i="1"/>
  <c r="BQ29" i="1"/>
  <c r="BR29" i="1" s="1"/>
  <c r="BP29" i="1"/>
  <c r="BS29" i="1"/>
  <c r="BP35" i="1"/>
  <c r="BQ35" i="1"/>
  <c r="BR35" i="1" s="1"/>
  <c r="BT23" i="1"/>
  <c r="BU23" i="1" s="1"/>
  <c r="BW23" i="1" s="1"/>
  <c r="BH32" i="1"/>
  <c r="BQ32" i="1"/>
  <c r="BR32" i="1" s="1"/>
  <c r="BP32" i="1"/>
  <c r="BO42" i="1"/>
  <c r="BQ42" i="1"/>
  <c r="BR42" i="1" s="1"/>
  <c r="BP42" i="1"/>
  <c r="BT27" i="1"/>
  <c r="BU27" i="1" s="1"/>
  <c r="BW27" i="1" s="1"/>
  <c r="BX27" i="1" s="1"/>
  <c r="BG33" i="1"/>
  <c r="BQ33" i="1"/>
  <c r="BR33" i="1" s="1"/>
  <c r="BP33" i="1"/>
  <c r="BG16" i="1"/>
  <c r="BQ16" i="1"/>
  <c r="BR16" i="1" s="1"/>
  <c r="BP16" i="1"/>
  <c r="BF21" i="1"/>
  <c r="BQ21" i="1"/>
  <c r="BR21" i="1" s="1"/>
  <c r="BP21" i="1"/>
  <c r="BG18" i="1"/>
  <c r="BQ18" i="1"/>
  <c r="BR18" i="1" s="1"/>
  <c r="BP18" i="1"/>
  <c r="BP37" i="1"/>
  <c r="BQ37" i="1"/>
  <c r="BR37" i="1" s="1"/>
  <c r="BS20" i="1"/>
  <c r="BQ20" i="1"/>
  <c r="BR20" i="1" s="1"/>
  <c r="BP20" i="1"/>
  <c r="BT30" i="1"/>
  <c r="BU30" i="1" s="1"/>
  <c r="BW30" i="1" s="1"/>
  <c r="BT24" i="1"/>
  <c r="BU24" i="1" s="1"/>
  <c r="BW24" i="1" s="1"/>
  <c r="BO14" i="1"/>
  <c r="BP14" i="1"/>
  <c r="BQ41" i="1"/>
  <c r="BR41" i="1" s="1"/>
  <c r="BP41" i="1"/>
  <c r="BQ17" i="1"/>
  <c r="BR17" i="1" s="1"/>
  <c r="BP17" i="1"/>
  <c r="BT32" i="1"/>
  <c r="BU32" i="1" s="1"/>
  <c r="BW32" i="1" s="1"/>
  <c r="BX32" i="1" s="1"/>
  <c r="BG24" i="1"/>
  <c r="BP24" i="1"/>
  <c r="BQ24" i="1"/>
  <c r="BR24" i="1" s="1"/>
  <c r="BH23" i="1"/>
  <c r="BP23" i="1"/>
  <c r="BQ23" i="1"/>
  <c r="BR23" i="1" s="1"/>
  <c r="BT16" i="1"/>
  <c r="BU16" i="1" s="1"/>
  <c r="BW16" i="1" s="1"/>
  <c r="BS30" i="1"/>
  <c r="BQ30" i="1"/>
  <c r="BR30" i="1" s="1"/>
  <c r="BP30" i="1"/>
  <c r="BG31" i="1"/>
  <c r="BQ31" i="1"/>
  <c r="BR31" i="1" s="1"/>
  <c r="BP31" i="1"/>
  <c r="BX33" i="1"/>
  <c r="BO38" i="1"/>
  <c r="BP38" i="1"/>
  <c r="BQ38" i="1"/>
  <c r="BR38" i="1" s="1"/>
  <c r="BT22" i="1"/>
  <c r="BU22" i="1" s="1"/>
  <c r="BW22" i="1" s="1"/>
  <c r="BX22" i="1" s="1"/>
  <c r="BT40" i="1"/>
  <c r="BU40" i="1" s="1"/>
  <c r="BW40" i="1" s="1"/>
  <c r="BN27" i="1"/>
  <c r="BP27" i="1"/>
  <c r="BQ27" i="1"/>
  <c r="BR27" i="1" s="1"/>
  <c r="BX17" i="1"/>
  <c r="BN15" i="1"/>
  <c r="BP15" i="1"/>
  <c r="BQ15" i="1"/>
  <c r="BR15" i="1" s="1"/>
  <c r="BN40" i="1"/>
  <c r="BQ40" i="1"/>
  <c r="BR40" i="1" s="1"/>
  <c r="BP40" i="1"/>
  <c r="BN36" i="1"/>
  <c r="BP36" i="1"/>
  <c r="BQ36" i="1"/>
  <c r="BR36" i="1" s="1"/>
  <c r="BP39" i="1"/>
  <c r="BQ39" i="1"/>
  <c r="BR39" i="1" s="1"/>
  <c r="BP34" i="1"/>
  <c r="BQ34" i="1"/>
  <c r="BR34" i="1" s="1"/>
  <c r="BH19" i="1"/>
  <c r="BQ19" i="1"/>
  <c r="BR19" i="1" s="1"/>
  <c r="BP19" i="1"/>
  <c r="BQ14" i="1"/>
  <c r="BR14" i="1" s="1"/>
  <c r="BQ22" i="1"/>
  <c r="BR22" i="1" s="1"/>
  <c r="BP22" i="1"/>
  <c r="BT31" i="1"/>
  <c r="BU31" i="1" s="1"/>
  <c r="BW31" i="1" s="1"/>
  <c r="BO28" i="1"/>
  <c r="BQ28" i="1"/>
  <c r="BR28" i="1" s="1"/>
  <c r="BP28" i="1"/>
  <c r="BO26" i="1"/>
  <c r="BP26" i="1"/>
  <c r="BQ26" i="1"/>
  <c r="BR26" i="1" s="1"/>
  <c r="BT34" i="1"/>
  <c r="BU34" i="1" s="1"/>
  <c r="BW34" i="1" s="1"/>
  <c r="BX34" i="1" s="1"/>
  <c r="BY36" i="2"/>
  <c r="BY41" i="2"/>
  <c r="BY34" i="2"/>
  <c r="BT13" i="2"/>
  <c r="AK26" i="2"/>
  <c r="AO26" i="2" s="1"/>
  <c r="AV26" i="2" s="1"/>
  <c r="BY26" i="2" s="1"/>
  <c r="BR31" i="2"/>
  <c r="BS31" i="2" s="1"/>
  <c r="BO31" i="2"/>
  <c r="BI31" i="2"/>
  <c r="BT36" i="2"/>
  <c r="BO39" i="2"/>
  <c r="BY19" i="2"/>
  <c r="BP35" i="2"/>
  <c r="BT10" i="2"/>
  <c r="BG36" i="2"/>
  <c r="BP39" i="2"/>
  <c r="BT11" i="2"/>
  <c r="BY35" i="2"/>
  <c r="BQ39" i="2"/>
  <c r="AI34" i="2"/>
  <c r="AM34" i="2" s="1"/>
  <c r="AU34" i="2" s="1"/>
  <c r="BI27" i="2"/>
  <c r="BG27" i="2"/>
  <c r="BR39" i="2"/>
  <c r="BS39" i="2" s="1"/>
  <c r="AI37" i="2"/>
  <c r="AM37" i="2" s="1"/>
  <c r="AU37" i="2" s="1"/>
  <c r="AI36" i="2"/>
  <c r="AM36" i="2" s="1"/>
  <c r="AU36" i="2" s="1"/>
  <c r="BH27" i="2"/>
  <c r="BF39" i="2"/>
  <c r="BG31" i="2"/>
  <c r="AK9" i="2"/>
  <c r="AO9" i="2" s="1"/>
  <c r="AV9" i="2" s="1"/>
  <c r="AK39" i="2"/>
  <c r="AO39" i="2" s="1"/>
  <c r="AV39" i="2" s="1"/>
  <c r="BT39" i="2"/>
  <c r="BH31" i="2"/>
  <c r="AI35" i="2"/>
  <c r="AM35" i="2" s="1"/>
  <c r="AU35" i="2" s="1"/>
  <c r="BT32" i="2"/>
  <c r="BP32" i="2"/>
  <c r="BO32" i="2"/>
  <c r="AK32" i="2"/>
  <c r="AO32" i="2" s="1"/>
  <c r="AV32" i="2" s="1"/>
  <c r="BY32" i="2"/>
  <c r="BY40" i="2"/>
  <c r="AI41" i="2"/>
  <c r="AM41" i="2" s="1"/>
  <c r="AU41" i="2" s="1"/>
  <c r="AK42" i="2"/>
  <c r="AO42" i="2" s="1"/>
  <c r="AV42" i="2" s="1"/>
  <c r="AI33" i="2"/>
  <c r="AM33" i="2" s="1"/>
  <c r="AU33" i="2" s="1"/>
  <c r="AK28" i="2"/>
  <c r="AO28" i="2" s="1"/>
  <c r="AV28" i="2" s="1"/>
  <c r="BP31" i="2"/>
  <c r="BO36" i="2"/>
  <c r="BC27" i="2"/>
  <c r="BJ27" i="2" s="1"/>
  <c r="BH39" i="2"/>
  <c r="BQ31" i="2"/>
  <c r="BH36" i="2"/>
  <c r="AI26" i="2"/>
  <c r="AM26" i="2" s="1"/>
  <c r="AU26" i="2" s="1"/>
  <c r="BG35" i="2"/>
  <c r="BY29" i="2"/>
  <c r="BY31" i="2"/>
  <c r="BG39" i="2"/>
  <c r="BF35" i="2"/>
  <c r="BP36" i="2"/>
  <c r="AK11" i="2"/>
  <c r="AO11" i="2" s="1"/>
  <c r="AV11" i="2" s="1"/>
  <c r="BF31" i="2"/>
  <c r="BH35" i="2"/>
  <c r="AI16" i="2"/>
  <c r="AM16" i="2" s="1"/>
  <c r="AU16" i="2" s="1"/>
  <c r="AW16" i="2" s="1"/>
  <c r="AK29" i="2"/>
  <c r="AO29" i="2" s="1"/>
  <c r="AV29" i="2" s="1"/>
  <c r="AI29" i="2"/>
  <c r="AM29" i="2" s="1"/>
  <c r="AU29" i="2" s="1"/>
  <c r="AI24" i="2"/>
  <c r="AM24" i="2" s="1"/>
  <c r="AU24" i="2" s="1"/>
  <c r="BI23" i="2"/>
  <c r="BQ23" i="2"/>
  <c r="BO23" i="2"/>
  <c r="BR23" i="2"/>
  <c r="BS23" i="2" s="1"/>
  <c r="AI18" i="2"/>
  <c r="AM18" i="2" s="1"/>
  <c r="AU18" i="2" s="1"/>
  <c r="AW18" i="2" s="1"/>
  <c r="BM18" i="2" s="1"/>
  <c r="AK17" i="2"/>
  <c r="AO17" i="2" s="1"/>
  <c r="AV17" i="2" s="1"/>
  <c r="AK15" i="2"/>
  <c r="AO15" i="2" s="1"/>
  <c r="AV15" i="2" s="1"/>
  <c r="AI13" i="2"/>
  <c r="AK13" i="2"/>
  <c r="AO13" i="2" s="1"/>
  <c r="AV13" i="2" s="1"/>
  <c r="AK12" i="2"/>
  <c r="AO12" i="2" s="1"/>
  <c r="AV12" i="2" s="1"/>
  <c r="AI12" i="2"/>
  <c r="AM12" i="2" s="1"/>
  <c r="AU12" i="2" s="1"/>
  <c r="AW12" i="2" s="1"/>
  <c r="AI10" i="2"/>
  <c r="AM10" i="2" s="1"/>
  <c r="AU10" i="2" s="1"/>
  <c r="AK10" i="2"/>
  <c r="AO10" i="2" s="1"/>
  <c r="AV10" i="2" s="1"/>
  <c r="AI9" i="2"/>
  <c r="AM9" i="2" s="1"/>
  <c r="AU9" i="2" s="1"/>
  <c r="AW9" i="2" s="1"/>
  <c r="BM9" i="2" s="1"/>
  <c r="AK8" i="2"/>
  <c r="AO8" i="2" s="1"/>
  <c r="AV8" i="2" s="1"/>
  <c r="BT16" i="2"/>
  <c r="BF16" i="2"/>
  <c r="BA14" i="2"/>
  <c r="BC14" i="2" s="1"/>
  <c r="BD14" i="2" s="1"/>
  <c r="BG14" i="2" s="1"/>
  <c r="BM14" i="2"/>
  <c r="BF13" i="2"/>
  <c r="BF12" i="2"/>
  <c r="BF11" i="2"/>
  <c r="BF10" i="2"/>
  <c r="BF8" i="2"/>
  <c r="BT12" i="2"/>
  <c r="BY42" i="2"/>
  <c r="BY24" i="2"/>
  <c r="BG24" i="2"/>
  <c r="BQ24" i="2"/>
  <c r="BH24" i="2"/>
  <c r="BF24" i="2"/>
  <c r="BT24" i="2"/>
  <c r="BR24" i="2"/>
  <c r="BS24" i="2" s="1"/>
  <c r="BO24" i="2"/>
  <c r="BI24" i="2"/>
  <c r="BP24" i="2"/>
  <c r="AK37" i="2"/>
  <c r="AO37" i="2" s="1"/>
  <c r="AV37" i="2" s="1"/>
  <c r="BY37" i="2" s="1"/>
  <c r="BA30" i="2"/>
  <c r="BC30" i="2" s="1"/>
  <c r="BJ30" i="2" s="1"/>
  <c r="AI15" i="2"/>
  <c r="BR38" i="2"/>
  <c r="BS38" i="2" s="1"/>
  <c r="BQ38" i="2"/>
  <c r="BP38" i="2"/>
  <c r="BO38" i="2"/>
  <c r="BI38" i="2"/>
  <c r="BH38" i="2"/>
  <c r="BG38" i="2"/>
  <c r="BF38" i="2"/>
  <c r="BT38" i="2"/>
  <c r="AK38" i="2"/>
  <c r="AO38" i="2" s="1"/>
  <c r="AV38" i="2" s="1"/>
  <c r="BY38" i="2" s="1"/>
  <c r="BY28" i="2"/>
  <c r="BI22" i="2"/>
  <c r="BG22" i="2"/>
  <c r="BF22" i="2"/>
  <c r="BQ22" i="2"/>
  <c r="BP22" i="2"/>
  <c r="BO22" i="2"/>
  <c r="BT22" i="2"/>
  <c r="BH22" i="2"/>
  <c r="BR22" i="2"/>
  <c r="BS22" i="2" s="1"/>
  <c r="AK27" i="2"/>
  <c r="AO27" i="2" s="1"/>
  <c r="AV27" i="2" s="1"/>
  <c r="BY27" i="2" s="1"/>
  <c r="BC40" i="2"/>
  <c r="BJ40" i="2" s="1"/>
  <c r="BR33" i="2"/>
  <c r="BS33" i="2" s="1"/>
  <c r="BQ33" i="2"/>
  <c r="BO33" i="2"/>
  <c r="BT33" i="2"/>
  <c r="BP33" i="2"/>
  <c r="BI33" i="2"/>
  <c r="BH33" i="2"/>
  <c r="BG33" i="2"/>
  <c r="BF33" i="2"/>
  <c r="BH29" i="2"/>
  <c r="BR29" i="2"/>
  <c r="BS29" i="2" s="1"/>
  <c r="BQ29" i="2"/>
  <c r="BP29" i="2"/>
  <c r="BO29" i="2"/>
  <c r="BI29" i="2"/>
  <c r="BG29" i="2"/>
  <c r="BF29" i="2"/>
  <c r="BT29" i="2"/>
  <c r="BF17" i="2"/>
  <c r="BT17" i="2"/>
  <c r="BT18" i="2"/>
  <c r="BF18" i="2"/>
  <c r="AC44" i="2"/>
  <c r="N47" i="2" s="1"/>
  <c r="K48" i="2" s="1"/>
  <c r="AD44" i="2"/>
  <c r="P47" i="2" s="1"/>
  <c r="AK22" i="2"/>
  <c r="AO22" i="2" s="1"/>
  <c r="AV22" i="2" s="1"/>
  <c r="BY22" i="2" s="1"/>
  <c r="AI22" i="2"/>
  <c r="AM22" i="2" s="1"/>
  <c r="AU22" i="2" s="1"/>
  <c r="BF9" i="2"/>
  <c r="BT9" i="2"/>
  <c r="AI31" i="2"/>
  <c r="AM31" i="2" s="1"/>
  <c r="AU31" i="2" s="1"/>
  <c r="BA33" i="2"/>
  <c r="BC33" i="2" s="1"/>
  <c r="BJ33" i="2" s="1"/>
  <c r="BT15" i="2"/>
  <c r="BF15" i="2"/>
  <c r="BO30" i="2"/>
  <c r="BI30" i="2"/>
  <c r="BT30" i="2"/>
  <c r="BR30" i="2"/>
  <c r="BS30" i="2" s="1"/>
  <c r="BQ30" i="2"/>
  <c r="BP30" i="2"/>
  <c r="BH30" i="2"/>
  <c r="BG30" i="2"/>
  <c r="BF30" i="2"/>
  <c r="AK30" i="2"/>
  <c r="AO30" i="2" s="1"/>
  <c r="AV30" i="2" s="1"/>
  <c r="BY30" i="2" s="1"/>
  <c r="AI30" i="2"/>
  <c r="AM30" i="2" s="1"/>
  <c r="AU30" i="2" s="1"/>
  <c r="BA39" i="2"/>
  <c r="BC39" i="2" s="1"/>
  <c r="BJ39" i="2" s="1"/>
  <c r="BY39" i="2"/>
  <c r="BQ40" i="2"/>
  <c r="BP40" i="2"/>
  <c r="BO40" i="2"/>
  <c r="BH40" i="2"/>
  <c r="BG40" i="2"/>
  <c r="BF40" i="2"/>
  <c r="BT40" i="2"/>
  <c r="BR40" i="2"/>
  <c r="BS40" i="2" s="1"/>
  <c r="BI40" i="2"/>
  <c r="AK25" i="2"/>
  <c r="AO25" i="2" s="1"/>
  <c r="AV25" i="2" s="1"/>
  <c r="BY25" i="2" s="1"/>
  <c r="BF14" i="2"/>
  <c r="BT14" i="2"/>
  <c r="BY20" i="2"/>
  <c r="AI8" i="2"/>
  <c r="AK33" i="2"/>
  <c r="AO33" i="2" s="1"/>
  <c r="AV33" i="2" s="1"/>
  <c r="BY33" i="2" s="1"/>
  <c r="AI11" i="2"/>
  <c r="AM11" i="2" s="1"/>
  <c r="AU11" i="2" s="1"/>
  <c r="AW11" i="2" s="1"/>
  <c r="AK23" i="2"/>
  <c r="AO23" i="2" s="1"/>
  <c r="AV23" i="2" s="1"/>
  <c r="BY23" i="2" s="1"/>
  <c r="BI31" i="1"/>
  <c r="BI29" i="1"/>
  <c r="BO29" i="1"/>
  <c r="BG29" i="1"/>
  <c r="BC29" i="1"/>
  <c r="BJ29" i="1" s="1"/>
  <c r="BH29" i="1"/>
  <c r="BF29" i="1"/>
  <c r="BS31" i="1"/>
  <c r="BI27" i="1"/>
  <c r="BH18" i="1"/>
  <c r="BO23" i="1"/>
  <c r="BH27" i="1"/>
  <c r="BO27" i="1"/>
  <c r="BG27" i="1"/>
  <c r="BS27" i="1"/>
  <c r="BS28" i="1"/>
  <c r="BC21" i="1"/>
  <c r="BJ21" i="1" s="1"/>
  <c r="BC31" i="1"/>
  <c r="BJ31" i="1" s="1"/>
  <c r="BF18" i="1"/>
  <c r="BS18" i="1"/>
  <c r="BG23" i="1"/>
  <c r="BN31" i="1"/>
  <c r="BI18" i="1"/>
  <c r="BO18" i="1"/>
  <c r="BF27" i="1"/>
  <c r="BS36" i="1"/>
  <c r="BI16" i="1"/>
  <c r="BS16" i="1"/>
  <c r="BC22" i="1"/>
  <c r="BJ22" i="1" s="1"/>
  <c r="BS23" i="1"/>
  <c r="BF16" i="1"/>
  <c r="BO16" i="1"/>
  <c r="AI26" i="1"/>
  <c r="AM26" i="1" s="1"/>
  <c r="AU26" i="1" s="1"/>
  <c r="BI23" i="1"/>
  <c r="BN16" i="1"/>
  <c r="BF23" i="1"/>
  <c r="BN14" i="1"/>
  <c r="BC20" i="1"/>
  <c r="BJ20" i="1" s="1"/>
  <c r="BC14" i="1"/>
  <c r="BJ14" i="1" s="1"/>
  <c r="BI14" i="1"/>
  <c r="BH31" i="1"/>
  <c r="BO31" i="1"/>
  <c r="BG14" i="1"/>
  <c r="BO33" i="1"/>
  <c r="BS14" i="1"/>
  <c r="BN28" i="1"/>
  <c r="BF12" i="1"/>
  <c r="BF24" i="1"/>
  <c r="BO21" i="1"/>
  <c r="BO15" i="1"/>
  <c r="BS24" i="1"/>
  <c r="BH14" i="1"/>
  <c r="BF14" i="1"/>
  <c r="BO24" i="1"/>
  <c r="BI21" i="1"/>
  <c r="BN24" i="1"/>
  <c r="BN21" i="1"/>
  <c r="BH21" i="1"/>
  <c r="BF31" i="1"/>
  <c r="BC25" i="1"/>
  <c r="BJ25" i="1" s="1"/>
  <c r="BS21" i="1"/>
  <c r="BG21" i="1"/>
  <c r="BN26" i="1"/>
  <c r="BG32" i="1"/>
  <c r="BG15" i="1"/>
  <c r="BF33" i="1"/>
  <c r="AK30" i="1"/>
  <c r="AO30" i="1" s="1"/>
  <c r="AV30" i="1" s="1"/>
  <c r="AK31" i="1"/>
  <c r="AO31" i="1" s="1"/>
  <c r="AV31" i="1" s="1"/>
  <c r="BH16" i="1"/>
  <c r="BI24" i="1"/>
  <c r="BF30" i="1"/>
  <c r="BH24" i="1"/>
  <c r="BI30" i="1"/>
  <c r="BS10" i="1"/>
  <c r="BI19" i="1"/>
  <c r="BS32" i="1"/>
  <c r="BO40" i="1"/>
  <c r="BG30" i="1"/>
  <c r="BC40" i="1"/>
  <c r="BJ40" i="1" s="1"/>
  <c r="BS15" i="1"/>
  <c r="BN30" i="1"/>
  <c r="BC19" i="1"/>
  <c r="BJ19" i="1" s="1"/>
  <c r="BS26" i="1"/>
  <c r="BO30" i="1"/>
  <c r="BG22" i="1"/>
  <c r="BF22" i="1"/>
  <c r="AK24" i="1"/>
  <c r="AO24" i="1" s="1"/>
  <c r="AV24" i="1" s="1"/>
  <c r="BF17" i="1"/>
  <c r="BO17" i="1"/>
  <c r="BN17" i="1"/>
  <c r="BS17" i="1"/>
  <c r="BC32" i="1"/>
  <c r="BJ32" i="1" s="1"/>
  <c r="BF11" i="1"/>
  <c r="AI22" i="1"/>
  <c r="AM22" i="1" s="1"/>
  <c r="AU22" i="1" s="1"/>
  <c r="BS11" i="1"/>
  <c r="BO32" i="1"/>
  <c r="BF32" i="1"/>
  <c r="BS13" i="1"/>
  <c r="BS40" i="1"/>
  <c r="BN19" i="1"/>
  <c r="BO19" i="1"/>
  <c r="BF19" i="1"/>
  <c r="BS19" i="1"/>
  <c r="BI33" i="1"/>
  <c r="BS33" i="1"/>
  <c r="BF15" i="1"/>
  <c r="BS22" i="1"/>
  <c r="BG19" i="1"/>
  <c r="AK27" i="1"/>
  <c r="AO27" i="1" s="1"/>
  <c r="AV27" i="1" s="1"/>
  <c r="BO22" i="1"/>
  <c r="BH30" i="1"/>
  <c r="BF10" i="1"/>
  <c r="BS34" i="1"/>
  <c r="BF34" i="1"/>
  <c r="BI34" i="1"/>
  <c r="BN34" i="1"/>
  <c r="BG34" i="1"/>
  <c r="BO34" i="1"/>
  <c r="BH34" i="1"/>
  <c r="BF20" i="1"/>
  <c r="BH20" i="1"/>
  <c r="BI20" i="1"/>
  <c r="BG20" i="1"/>
  <c r="BF9" i="1"/>
  <c r="BG26" i="1"/>
  <c r="BI26" i="1"/>
  <c r="BF26" i="1"/>
  <c r="BH26" i="1"/>
  <c r="BI22" i="1"/>
  <c r="BN22" i="1"/>
  <c r="BI17" i="1"/>
  <c r="BO20" i="1"/>
  <c r="BF13" i="1"/>
  <c r="BI32" i="1"/>
  <c r="BS9" i="1"/>
  <c r="BI15" i="1"/>
  <c r="BH17" i="1"/>
  <c r="BN20" i="1"/>
  <c r="BH22" i="1"/>
  <c r="BH33" i="1"/>
  <c r="BI28" i="1"/>
  <c r="BF28" i="1"/>
  <c r="BG28" i="1"/>
  <c r="BH28" i="1"/>
  <c r="BH15" i="1"/>
  <c r="BG17" i="1"/>
  <c r="BS12" i="1"/>
  <c r="BN32" i="1"/>
  <c r="BF37" i="1"/>
  <c r="BG37" i="1"/>
  <c r="BH37" i="1"/>
  <c r="BI37" i="1"/>
  <c r="BN37" i="1"/>
  <c r="BO37" i="1"/>
  <c r="BS37" i="1"/>
  <c r="BI42" i="1"/>
  <c r="BF42" i="1"/>
  <c r="BG42" i="1"/>
  <c r="BH42" i="1"/>
  <c r="BI38" i="1"/>
  <c r="BF38" i="1"/>
  <c r="BG38" i="1"/>
  <c r="BH38" i="1"/>
  <c r="BN38" i="1"/>
  <c r="BS38" i="1"/>
  <c r="BN42" i="1"/>
  <c r="BS42" i="1"/>
  <c r="BF35" i="1"/>
  <c r="BG35" i="1"/>
  <c r="BH35" i="1"/>
  <c r="BI35" i="1"/>
  <c r="BN35" i="1"/>
  <c r="BO35" i="1"/>
  <c r="BS35" i="1"/>
  <c r="BI36" i="1"/>
  <c r="BF36" i="1"/>
  <c r="BG36" i="1"/>
  <c r="BH36" i="1"/>
  <c r="BI40" i="1"/>
  <c r="BF40" i="1"/>
  <c r="BG40" i="1"/>
  <c r="BH40" i="1"/>
  <c r="BO41" i="1"/>
  <c r="BS41" i="1"/>
  <c r="BF41" i="1"/>
  <c r="BG41" i="1"/>
  <c r="BH41" i="1"/>
  <c r="BI41" i="1"/>
  <c r="BN41" i="1"/>
  <c r="BO36" i="1"/>
  <c r="BF39" i="1"/>
  <c r="BG39" i="1"/>
  <c r="BH39" i="1"/>
  <c r="BI39" i="1"/>
  <c r="BN39" i="1"/>
  <c r="BO39" i="1"/>
  <c r="BS39" i="1"/>
  <c r="BF8" i="1"/>
  <c r="AK26" i="1"/>
  <c r="AO26" i="1" s="1"/>
  <c r="AV26" i="1" s="1"/>
  <c r="BX26" i="1" s="1"/>
  <c r="AI24" i="1"/>
  <c r="AM24" i="1" s="1"/>
  <c r="AU24" i="1" s="1"/>
  <c r="AK22" i="1"/>
  <c r="AO22" i="1" s="1"/>
  <c r="AV22" i="1" s="1"/>
  <c r="AI16" i="1"/>
  <c r="AM16" i="1" s="1"/>
  <c r="AU16" i="1" s="1"/>
  <c r="AI25" i="1"/>
  <c r="AM25" i="1" s="1"/>
  <c r="AU25" i="1" s="1"/>
  <c r="AK25" i="1"/>
  <c r="AO25" i="1" s="1"/>
  <c r="AV25" i="1" s="1"/>
  <c r="BX25" i="1" s="1"/>
  <c r="AI27" i="1"/>
  <c r="AM27" i="1" s="1"/>
  <c r="AU27" i="1" s="1"/>
  <c r="AK36" i="1"/>
  <c r="AO36" i="1" s="1"/>
  <c r="AV36" i="1" s="1"/>
  <c r="BX36" i="1" s="1"/>
  <c r="AK14" i="1"/>
  <c r="AO14" i="1" s="1"/>
  <c r="AV14" i="1" s="1"/>
  <c r="BX14" i="1" s="1"/>
  <c r="AK32" i="1"/>
  <c r="AO32" i="1" s="1"/>
  <c r="AV32" i="1" s="1"/>
  <c r="AI37" i="1"/>
  <c r="AM37" i="1" s="1"/>
  <c r="AU37" i="1" s="1"/>
  <c r="AI21" i="1"/>
  <c r="AM21" i="1" s="1"/>
  <c r="AU21" i="1" s="1"/>
  <c r="AK16" i="1"/>
  <c r="AO16" i="1" s="1"/>
  <c r="AV16" i="1" s="1"/>
  <c r="AI36" i="1"/>
  <c r="AM36" i="1" s="1"/>
  <c r="AU36" i="1" s="1"/>
  <c r="AK15" i="1"/>
  <c r="AO15" i="1" s="1"/>
  <c r="AV15" i="1" s="1"/>
  <c r="BX15" i="1" s="1"/>
  <c r="AK13" i="1"/>
  <c r="AO13" i="1" s="1"/>
  <c r="AV13" i="1" s="1"/>
  <c r="AI15" i="1"/>
  <c r="AM15" i="1" s="1"/>
  <c r="AU15" i="1" s="1"/>
  <c r="AI18" i="1"/>
  <c r="AM18" i="1" s="1"/>
  <c r="AU18" i="1" s="1"/>
  <c r="AI31" i="1"/>
  <c r="AM31" i="1" s="1"/>
  <c r="AU31" i="1" s="1"/>
  <c r="AI35" i="1"/>
  <c r="AM35" i="1" s="1"/>
  <c r="AU35" i="1" s="1"/>
  <c r="AI28" i="1"/>
  <c r="AM28" i="1" s="1"/>
  <c r="AU28" i="1" s="1"/>
  <c r="AK20" i="1"/>
  <c r="AO20" i="1" s="1"/>
  <c r="AV20" i="1" s="1"/>
  <c r="BX20" i="1" s="1"/>
  <c r="AK38" i="1"/>
  <c r="AO38" i="1" s="1"/>
  <c r="AV38" i="1" s="1"/>
  <c r="BX38" i="1" s="1"/>
  <c r="AK40" i="1"/>
  <c r="AO40" i="1" s="1"/>
  <c r="AV40" i="1" s="1"/>
  <c r="AI19" i="1"/>
  <c r="AM19" i="1" s="1"/>
  <c r="AU19" i="1" s="1"/>
  <c r="AI42" i="1"/>
  <c r="AM42" i="1" s="1"/>
  <c r="AU42" i="1" s="1"/>
  <c r="AI32" i="1"/>
  <c r="AM32" i="1" s="1"/>
  <c r="AU32" i="1" s="1"/>
  <c r="AK21" i="1"/>
  <c r="AO21" i="1" s="1"/>
  <c r="AV21" i="1" s="1"/>
  <c r="BX21" i="1" s="1"/>
  <c r="AK34" i="1"/>
  <c r="AO34" i="1" s="1"/>
  <c r="AV34" i="1" s="1"/>
  <c r="AK37" i="1"/>
  <c r="AO37" i="1" s="1"/>
  <c r="AV37" i="1" s="1"/>
  <c r="BX37" i="1" s="1"/>
  <c r="AK29" i="1"/>
  <c r="AO29" i="1" s="1"/>
  <c r="AV29" i="1" s="1"/>
  <c r="BX29" i="1" s="1"/>
  <c r="AI41" i="1"/>
  <c r="AM41" i="1" s="1"/>
  <c r="AU41" i="1" s="1"/>
  <c r="AI20" i="1"/>
  <c r="AM20" i="1" s="1"/>
  <c r="AU20" i="1" s="1"/>
  <c r="AK10" i="1"/>
  <c r="AO10" i="1" s="1"/>
  <c r="AV10" i="1" s="1"/>
  <c r="AI38" i="1"/>
  <c r="AM38" i="1" s="1"/>
  <c r="AU38" i="1" s="1"/>
  <c r="AI34" i="1"/>
  <c r="AM34" i="1" s="1"/>
  <c r="AU34" i="1" s="1"/>
  <c r="AI10" i="1"/>
  <c r="AI9" i="1"/>
  <c r="AK9" i="1"/>
  <c r="AO9" i="1" s="1"/>
  <c r="AV9" i="1" s="1"/>
  <c r="AK8" i="1"/>
  <c r="AI13" i="1"/>
  <c r="AM13" i="1" s="1"/>
  <c r="AU13" i="1" s="1"/>
  <c r="AK42" i="1"/>
  <c r="AO42" i="1" s="1"/>
  <c r="AV42" i="1" s="1"/>
  <c r="BX42" i="1" s="1"/>
  <c r="AI17" i="1"/>
  <c r="AM17" i="1" s="1"/>
  <c r="AU17" i="1" s="1"/>
  <c r="AK17" i="1"/>
  <c r="AO17" i="1" s="1"/>
  <c r="AV17" i="1" s="1"/>
  <c r="AK35" i="1"/>
  <c r="AO35" i="1" s="1"/>
  <c r="AV35" i="1" s="1"/>
  <c r="BX35" i="1" s="1"/>
  <c r="AI30" i="1"/>
  <c r="AM30" i="1" s="1"/>
  <c r="AU30" i="1" s="1"/>
  <c r="AI8" i="1"/>
  <c r="AI11" i="1"/>
  <c r="AK11" i="1"/>
  <c r="AO11" i="1" s="1"/>
  <c r="AV11" i="1" s="1"/>
  <c r="AI14" i="1"/>
  <c r="AM14" i="1" s="1"/>
  <c r="AU14" i="1" s="1"/>
  <c r="AI23" i="1"/>
  <c r="AM23" i="1" s="1"/>
  <c r="AU23" i="1" s="1"/>
  <c r="AK23" i="1"/>
  <c r="AO23" i="1" s="1"/>
  <c r="AV23" i="1" s="1"/>
  <c r="AK19" i="1"/>
  <c r="AO19" i="1" s="1"/>
  <c r="AV19" i="1" s="1"/>
  <c r="BX19" i="1" s="1"/>
  <c r="AK41" i="1"/>
  <c r="AO41" i="1" s="1"/>
  <c r="AV41" i="1" s="1"/>
  <c r="BX41" i="1" s="1"/>
  <c r="AI39" i="1"/>
  <c r="AM39" i="1" s="1"/>
  <c r="AU39" i="1" s="1"/>
  <c r="AK39" i="1"/>
  <c r="AO39" i="1" s="1"/>
  <c r="AV39" i="1" s="1"/>
  <c r="AK28" i="1"/>
  <c r="AO28" i="1" s="1"/>
  <c r="AV28" i="1" s="1"/>
  <c r="BX28" i="1" s="1"/>
  <c r="AI40" i="1"/>
  <c r="AM40" i="1" s="1"/>
  <c r="AU40" i="1" s="1"/>
  <c r="AI33" i="1"/>
  <c r="AM33" i="1" s="1"/>
  <c r="AU33" i="1" s="1"/>
  <c r="AK33" i="1"/>
  <c r="AO33" i="1" s="1"/>
  <c r="AV33" i="1" s="1"/>
  <c r="AI29" i="1"/>
  <c r="AM29" i="1" s="1"/>
  <c r="AU29" i="1" s="1"/>
  <c r="AK18" i="1"/>
  <c r="AO18" i="1" s="1"/>
  <c r="AV18" i="1" s="1"/>
  <c r="BX18" i="1" s="1"/>
  <c r="AK12" i="1"/>
  <c r="AO12" i="1" s="1"/>
  <c r="AV12" i="1" s="1"/>
  <c r="AI12" i="1"/>
  <c r="AM12" i="1" s="1"/>
  <c r="AU12" i="1" s="1"/>
  <c r="AW12" i="1" s="1"/>
  <c r="BA12" i="1" s="1"/>
  <c r="BC12" i="1" s="1"/>
  <c r="AD44" i="1"/>
  <c r="P47" i="1" s="1"/>
  <c r="AC44" i="1"/>
  <c r="N47" i="1" s="1"/>
  <c r="K48" i="1" s="1"/>
  <c r="BX31" i="1" l="1"/>
  <c r="BX40" i="1"/>
  <c r="BX24" i="1"/>
  <c r="BX23" i="1"/>
  <c r="BX16" i="1"/>
  <c r="BX30" i="1"/>
  <c r="AM8" i="2"/>
  <c r="AU8" i="2" s="1"/>
  <c r="AW8" i="2" s="1"/>
  <c r="BA18" i="2"/>
  <c r="BC18" i="2" s="1"/>
  <c r="BD18" i="2" s="1"/>
  <c r="BG18" i="2" s="1"/>
  <c r="BI18" i="2" s="1"/>
  <c r="BJ18" i="2" s="1"/>
  <c r="AM17" i="2"/>
  <c r="AU17" i="2" s="1"/>
  <c r="AW17" i="2" s="1"/>
  <c r="AM15" i="2"/>
  <c r="AU15" i="2" s="1"/>
  <c r="AW15" i="2" s="1"/>
  <c r="BA15" i="2" s="1"/>
  <c r="BC15" i="2" s="1"/>
  <c r="BD15" i="2" s="1"/>
  <c r="BG15" i="2" s="1"/>
  <c r="BI15" i="2" s="1"/>
  <c r="BJ15" i="2" s="1"/>
  <c r="AM13" i="2"/>
  <c r="AU13" i="2" s="1"/>
  <c r="AW13" i="2" s="1"/>
  <c r="BM12" i="2"/>
  <c r="BA12" i="2"/>
  <c r="BC12" i="2" s="1"/>
  <c r="BD12" i="2" s="1"/>
  <c r="AW10" i="2"/>
  <c r="BK1" i="2" s="1"/>
  <c r="BU17" i="2"/>
  <c r="BV17" i="2" s="1"/>
  <c r="BX17" i="2" s="1"/>
  <c r="BY17" i="2" s="1"/>
  <c r="BM10" i="2"/>
  <c r="BU10" i="2"/>
  <c r="BV10" i="2" s="1"/>
  <c r="BX10" i="2" s="1"/>
  <c r="BY10" i="2" s="1"/>
  <c r="BA10" i="2"/>
  <c r="BC10" i="2" s="1"/>
  <c r="BD10" i="2" s="1"/>
  <c r="BG10" i="2" s="1"/>
  <c r="BH14" i="2"/>
  <c r="BA9" i="2"/>
  <c r="BC9" i="2" s="1"/>
  <c r="BD9" i="2" s="1"/>
  <c r="BG9" i="2" s="1"/>
  <c r="BI14" i="2"/>
  <c r="BJ14" i="2" s="1"/>
  <c r="BN14" i="2"/>
  <c r="BO14" i="2" s="1"/>
  <c r="BP14" i="2" s="1"/>
  <c r="BA16" i="2"/>
  <c r="BC16" i="2" s="1"/>
  <c r="BD16" i="2" s="1"/>
  <c r="BG16" i="2" s="1"/>
  <c r="BI16" i="2" s="1"/>
  <c r="BJ16" i="2" s="1"/>
  <c r="BM16" i="2"/>
  <c r="BM11" i="2"/>
  <c r="BA11" i="2"/>
  <c r="BC11" i="2" s="1"/>
  <c r="BA8" i="2"/>
  <c r="BC8" i="2" s="1"/>
  <c r="BD8" i="2" s="1"/>
  <c r="BG8" i="2" s="1"/>
  <c r="BM8" i="2"/>
  <c r="AR45" i="2"/>
  <c r="AE44" i="2"/>
  <c r="AM11" i="1"/>
  <c r="AU11" i="1" s="1"/>
  <c r="AM10" i="1"/>
  <c r="AU10" i="1" s="1"/>
  <c r="AW10" i="1" s="1"/>
  <c r="BA10" i="1" s="1"/>
  <c r="BC10" i="1" s="1"/>
  <c r="BD10" i="1" s="1"/>
  <c r="BG10" i="1" s="1"/>
  <c r="BI10" i="1" s="1"/>
  <c r="BJ10" i="1" s="1"/>
  <c r="AW13" i="1"/>
  <c r="BA13" i="1" s="1"/>
  <c r="BC13" i="1" s="1"/>
  <c r="BD13" i="1" s="1"/>
  <c r="BG13" i="1" s="1"/>
  <c r="BI13" i="1" s="1"/>
  <c r="BJ13" i="1" s="1"/>
  <c r="BD12" i="1"/>
  <c r="BG12" i="1" s="1"/>
  <c r="BL12" i="1"/>
  <c r="BM12" i="1" s="1"/>
  <c r="AW11" i="1"/>
  <c r="AO8" i="1"/>
  <c r="AV8" i="1" s="1"/>
  <c r="AR45" i="1"/>
  <c r="AM9" i="1"/>
  <c r="AU9" i="1" s="1"/>
  <c r="AW9" i="1" s="1"/>
  <c r="AM8" i="1"/>
  <c r="AU8" i="1" s="1"/>
  <c r="AE44" i="1"/>
  <c r="BN18" i="2" l="1"/>
  <c r="BO18" i="2" s="1"/>
  <c r="BA17" i="2"/>
  <c r="BC17" i="2" s="1"/>
  <c r="BM17" i="2"/>
  <c r="BM15" i="2"/>
  <c r="BR14" i="2"/>
  <c r="BS14" i="2" s="1"/>
  <c r="BQ14" i="2"/>
  <c r="BM13" i="2"/>
  <c r="BI1" i="2"/>
  <c r="BI2" i="2" s="1"/>
  <c r="BA13" i="2"/>
  <c r="BC13" i="2" s="1"/>
  <c r="BU8" i="2"/>
  <c r="BV8" i="2" s="1"/>
  <c r="BX8" i="2" s="1"/>
  <c r="BY8" i="2" s="1"/>
  <c r="BU16" i="2"/>
  <c r="BV16" i="2" s="1"/>
  <c r="BX16" i="2" s="1"/>
  <c r="BY16" i="2" s="1"/>
  <c r="BU11" i="2"/>
  <c r="BV11" i="2" s="1"/>
  <c r="BX11" i="2" s="1"/>
  <c r="BY11" i="2" s="1"/>
  <c r="BU18" i="2"/>
  <c r="BV18" i="2" s="1"/>
  <c r="BX18" i="2" s="1"/>
  <c r="BY18" i="2" s="1"/>
  <c r="BU13" i="2"/>
  <c r="BV13" i="2" s="1"/>
  <c r="BX13" i="2" s="1"/>
  <c r="BY13" i="2" s="1"/>
  <c r="BU9" i="2"/>
  <c r="BV9" i="2" s="1"/>
  <c r="BX9" i="2" s="1"/>
  <c r="BY9" i="2" s="1"/>
  <c r="BU14" i="2"/>
  <c r="BV14" i="2" s="1"/>
  <c r="BX14" i="2" s="1"/>
  <c r="BY14" i="2" s="1"/>
  <c r="BU12" i="2"/>
  <c r="BV12" i="2" s="1"/>
  <c r="BX12" i="2" s="1"/>
  <c r="BY12" i="2" s="1"/>
  <c r="BU15" i="2"/>
  <c r="BV15" i="2" s="1"/>
  <c r="BX15" i="2" s="1"/>
  <c r="BY15" i="2" s="1"/>
  <c r="BN12" i="2"/>
  <c r="BI10" i="2"/>
  <c r="BJ10" i="2" s="1"/>
  <c r="BH10" i="2"/>
  <c r="BN10" i="2"/>
  <c r="BO10" i="2" s="1"/>
  <c r="BP10" i="2" s="1"/>
  <c r="BN9" i="2"/>
  <c r="BO9" i="2" s="1"/>
  <c r="BI9" i="2"/>
  <c r="BJ9" i="2" s="1"/>
  <c r="BH9" i="2"/>
  <c r="BN8" i="2"/>
  <c r="BO8" i="2" s="1"/>
  <c r="BN15" i="2"/>
  <c r="BO15" i="2" s="1"/>
  <c r="BP15" i="2" s="1"/>
  <c r="BH15" i="2"/>
  <c r="BH16" i="2"/>
  <c r="BK3" i="2"/>
  <c r="BK5" i="2" s="1"/>
  <c r="BK2" i="2"/>
  <c r="BN16" i="2"/>
  <c r="BO16" i="2" s="1"/>
  <c r="BP16" i="2" s="1"/>
  <c r="BH18" i="2"/>
  <c r="BD11" i="2"/>
  <c r="BG11" i="2" s="1"/>
  <c r="BN11" i="2"/>
  <c r="BO11" i="2" s="1"/>
  <c r="BP11" i="2" s="1"/>
  <c r="BH8" i="2"/>
  <c r="BI8" i="2"/>
  <c r="BJ8" i="2" s="1"/>
  <c r="AG44" i="2"/>
  <c r="AK44" i="2" s="1"/>
  <c r="AO44" i="2" s="1"/>
  <c r="AF44" i="2"/>
  <c r="AI44" i="2" s="1"/>
  <c r="AW8" i="1"/>
  <c r="BT10" i="1" s="1"/>
  <c r="BU10" i="1" s="1"/>
  <c r="BW10" i="1" s="1"/>
  <c r="BX10" i="1" s="1"/>
  <c r="BL10" i="1"/>
  <c r="BL13" i="1"/>
  <c r="BT12" i="1"/>
  <c r="BU12" i="1" s="1"/>
  <c r="BW12" i="1" s="1"/>
  <c r="BX12" i="1" s="1"/>
  <c r="BK1" i="1"/>
  <c r="BT13" i="1"/>
  <c r="BU13" i="1" s="1"/>
  <c r="BW13" i="1" s="1"/>
  <c r="BX13" i="1" s="1"/>
  <c r="BM10" i="1"/>
  <c r="BN10" i="1" s="1"/>
  <c r="BM13" i="1"/>
  <c r="BN13" i="1" s="1"/>
  <c r="BH13" i="1"/>
  <c r="BI12" i="1"/>
  <c r="BJ12" i="1" s="1"/>
  <c r="BH12" i="1"/>
  <c r="BA11" i="1"/>
  <c r="BC11" i="1" s="1"/>
  <c r="BD11" i="1" s="1"/>
  <c r="BG11" i="1" s="1"/>
  <c r="BT11" i="1"/>
  <c r="BU11" i="1" s="1"/>
  <c r="BW11" i="1" s="1"/>
  <c r="BX11" i="1" s="1"/>
  <c r="BL11" i="1"/>
  <c r="BH10" i="1"/>
  <c r="BL9" i="1"/>
  <c r="BA9" i="1"/>
  <c r="BC9" i="1" s="1"/>
  <c r="BD9" i="1" s="1"/>
  <c r="BG9" i="1" s="1"/>
  <c r="AG44" i="1"/>
  <c r="AK44" i="1" s="1"/>
  <c r="AO44" i="1" s="1"/>
  <c r="AF44" i="1"/>
  <c r="AI44" i="1" s="1"/>
  <c r="BP18" i="2" l="1"/>
  <c r="BQ18" i="2" s="1"/>
  <c r="BR18" i="2"/>
  <c r="BR16" i="2"/>
  <c r="BS16" i="2" s="1"/>
  <c r="BN17" i="2"/>
  <c r="BO17" i="2" s="1"/>
  <c r="BP17" i="2" s="1"/>
  <c r="BM2" i="2" s="1"/>
  <c r="BD17" i="2"/>
  <c r="BG17" i="2" s="1"/>
  <c r="BR15" i="2"/>
  <c r="BS15" i="2" s="1"/>
  <c r="BN13" i="2"/>
  <c r="BI3" i="2"/>
  <c r="BI5" i="2" s="1"/>
  <c r="BD13" i="2"/>
  <c r="BO12" i="2"/>
  <c r="BO13" i="2"/>
  <c r="BP13" i="2" s="1"/>
  <c r="BR11" i="2"/>
  <c r="BS11" i="2" s="1"/>
  <c r="AM44" i="2"/>
  <c r="BQ10" i="2"/>
  <c r="BR10" i="2"/>
  <c r="BS10" i="2" s="1"/>
  <c r="BP9" i="2"/>
  <c r="BQ9" i="2" s="1"/>
  <c r="BR9" i="2"/>
  <c r="BP8" i="2"/>
  <c r="BR8" i="2"/>
  <c r="BQ15" i="2"/>
  <c r="BQ16" i="2"/>
  <c r="BH11" i="2"/>
  <c r="BQ11" i="2" s="1"/>
  <c r="BI11" i="2"/>
  <c r="BJ11" i="2" s="1"/>
  <c r="BO13" i="1"/>
  <c r="BP13" i="1" s="1"/>
  <c r="BQ13" i="1"/>
  <c r="BO10" i="1"/>
  <c r="BP10" i="1" s="1"/>
  <c r="BQ10" i="1"/>
  <c r="BL8" i="1"/>
  <c r="BA8" i="1"/>
  <c r="BC8" i="1" s="1"/>
  <c r="BD8" i="1" s="1"/>
  <c r="BG8" i="1" s="1"/>
  <c r="BH8" i="1" s="1"/>
  <c r="BT8" i="1"/>
  <c r="BU8" i="1" s="1"/>
  <c r="BW8" i="1" s="1"/>
  <c r="BX8" i="1" s="1"/>
  <c r="BT9" i="1"/>
  <c r="BU9" i="1" s="1"/>
  <c r="BW9" i="1" s="1"/>
  <c r="BX9" i="1" s="1"/>
  <c r="BI1" i="1"/>
  <c r="BI2" i="1" s="1"/>
  <c r="BN12" i="1"/>
  <c r="BK3" i="1"/>
  <c r="BK5" i="1" s="1"/>
  <c r="BK2" i="1"/>
  <c r="BM11" i="1"/>
  <c r="BN11" i="1" s="1"/>
  <c r="BO11" i="1" s="1"/>
  <c r="BP11" i="1" s="1"/>
  <c r="BI11" i="1"/>
  <c r="BJ11" i="1" s="1"/>
  <c r="BH11" i="1"/>
  <c r="BM9" i="1"/>
  <c r="BN9" i="1" s="1"/>
  <c r="BI9" i="1"/>
  <c r="BJ9" i="1" s="1"/>
  <c r="BH9" i="1"/>
  <c r="AM44" i="1"/>
  <c r="BI8" i="1" l="1"/>
  <c r="BJ8" i="1"/>
  <c r="AM46" i="1"/>
  <c r="V48" i="1"/>
  <c r="AS45" i="1" s="1"/>
  <c r="AM46" i="2"/>
  <c r="V48" i="2"/>
  <c r="BS18" i="2"/>
  <c r="BR13" i="2"/>
  <c r="BS13" i="2" s="1"/>
  <c r="BH17" i="2"/>
  <c r="BQ17" i="2" s="1"/>
  <c r="BK6" i="2" s="1"/>
  <c r="BI17" i="2"/>
  <c r="BJ17" i="2" s="1"/>
  <c r="BR17" i="2"/>
  <c r="BS17" i="2" s="1"/>
  <c r="BG12" i="2"/>
  <c r="BG13" i="2"/>
  <c r="BP12" i="2"/>
  <c r="BM1" i="2" s="1"/>
  <c r="BR12" i="2"/>
  <c r="BS9" i="2"/>
  <c r="BS8" i="2"/>
  <c r="BQ8" i="2"/>
  <c r="BI3" i="1"/>
  <c r="BI5" i="1" s="1"/>
  <c r="BR10" i="1"/>
  <c r="BR13" i="1"/>
  <c r="BO9" i="1"/>
  <c r="BP9" i="1" s="1"/>
  <c r="BQ9" i="1"/>
  <c r="BQ11" i="1"/>
  <c r="BR11" i="1" s="1"/>
  <c r="BO12" i="1"/>
  <c r="BP12" i="1" s="1"/>
  <c r="BQ12" i="1"/>
  <c r="BK6" i="1"/>
  <c r="BM8" i="1"/>
  <c r="BN8" i="1" s="1"/>
  <c r="BM2" i="1"/>
  <c r="AS45" i="2" l="1"/>
  <c r="BS12" i="2"/>
  <c r="BH13" i="2"/>
  <c r="BQ13" i="2" s="1"/>
  <c r="BI13" i="2"/>
  <c r="BJ13" i="2" s="1"/>
  <c r="BI12" i="2"/>
  <c r="BJ12" i="2" s="1"/>
  <c r="BH12" i="2"/>
  <c r="BQ12" i="2" s="1"/>
  <c r="BI6" i="2" s="1"/>
  <c r="BM3" i="2"/>
  <c r="BR9" i="1"/>
  <c r="BR12" i="1"/>
  <c r="BO8" i="1"/>
  <c r="BQ8" i="1"/>
  <c r="AV45" i="1"/>
  <c r="AU45" i="2" l="1"/>
  <c r="P49" i="2"/>
  <c r="AV45" i="2"/>
  <c r="BR8" i="1"/>
  <c r="BP8" i="1"/>
  <c r="BI6" i="1" s="1"/>
  <c r="BM1" i="1"/>
  <c r="BM3" i="1"/>
  <c r="AU4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<sst xmlns="http://schemas.openxmlformats.org/spreadsheetml/2006/main" count="1265" uniqueCount="96">
  <si>
    <t>申請する
利用日</t>
    <rPh sb="0" eb="2">
      <t>シンセイ</t>
    </rPh>
    <rPh sb="5" eb="7">
      <t>リヨウ</t>
    </rPh>
    <rPh sb="7" eb="8">
      <t>ビ</t>
    </rPh>
    <phoneticPr fontId="4"/>
  </si>
  <si>
    <t>利用時間数</t>
    <rPh sb="0" eb="2">
      <t>リヨウ</t>
    </rPh>
    <rPh sb="2" eb="4">
      <t>ジカン</t>
    </rPh>
    <rPh sb="4" eb="5">
      <t>スウ</t>
    </rPh>
    <phoneticPr fontId="4"/>
  </si>
  <si>
    <t>保育料
（税込み）</t>
    <rPh sb="0" eb="3">
      <t>ホイクリョウ</t>
    </rPh>
    <rPh sb="5" eb="7">
      <t>ゼイコ</t>
    </rPh>
    <phoneticPr fontId="4"/>
  </si>
  <si>
    <t>交通費等
対象外経費</t>
    <rPh sb="0" eb="3">
      <t>コウツウヒ</t>
    </rPh>
    <rPh sb="3" eb="4">
      <t>トウ</t>
    </rPh>
    <rPh sb="5" eb="7">
      <t>タイショウ</t>
    </rPh>
    <rPh sb="7" eb="8">
      <t>ガイ</t>
    </rPh>
    <rPh sb="8" eb="10">
      <t>ケイヒ</t>
    </rPh>
    <phoneticPr fontId="4"/>
  </si>
  <si>
    <t>クーポン等の
割引金額</t>
    <rPh sb="4" eb="5">
      <t>トウ</t>
    </rPh>
    <rPh sb="7" eb="9">
      <t>ワリビキ</t>
    </rPh>
    <rPh sb="9" eb="11">
      <t>キンガク</t>
    </rPh>
    <phoneticPr fontId="4"/>
  </si>
  <si>
    <t>日中</t>
    <rPh sb="0" eb="2">
      <t>ニッチュウ</t>
    </rPh>
    <phoneticPr fontId="4"/>
  </si>
  <si>
    <t>日中利用時間数</t>
    <rPh sb="0" eb="2">
      <t>ニッチュウ</t>
    </rPh>
    <rPh sb="2" eb="4">
      <t>リヨウ</t>
    </rPh>
    <rPh sb="4" eb="6">
      <t>ジカン</t>
    </rPh>
    <rPh sb="6" eb="7">
      <t>スウ</t>
    </rPh>
    <phoneticPr fontId="4"/>
  </si>
  <si>
    <t>夜間利用時間数</t>
    <rPh sb="0" eb="2">
      <t>ヤカン</t>
    </rPh>
    <rPh sb="2" eb="4">
      <t>リヨウ</t>
    </rPh>
    <rPh sb="4" eb="6">
      <t>ジカン</t>
    </rPh>
    <rPh sb="6" eb="7">
      <t>スウ</t>
    </rPh>
    <phoneticPr fontId="4"/>
  </si>
  <si>
    <t>：</t>
    <phoneticPr fontId="4"/>
  </si>
  <si>
    <t>～</t>
    <phoneticPr fontId="4"/>
  </si>
  <si>
    <t>時間</t>
    <rPh sb="0" eb="2">
      <t>ジカン</t>
    </rPh>
    <phoneticPr fontId="4"/>
  </si>
  <si>
    <t>分</t>
    <rPh sb="0" eb="1">
      <t>フン</t>
    </rPh>
    <phoneticPr fontId="4"/>
  </si>
  <si>
    <t>円</t>
    <rPh sb="0" eb="1">
      <t>エン</t>
    </rPh>
    <phoneticPr fontId="4"/>
  </si>
  <si>
    <t>日中
時間数</t>
    <rPh sb="0" eb="2">
      <t>ニッチュウ</t>
    </rPh>
    <rPh sb="3" eb="5">
      <t>ジカン</t>
    </rPh>
    <rPh sb="5" eb="6">
      <t>スウ</t>
    </rPh>
    <phoneticPr fontId="13"/>
  </si>
  <si>
    <t>夜間
時間数</t>
    <rPh sb="0" eb="2">
      <t>ヤカン</t>
    </rPh>
    <rPh sb="3" eb="5">
      <t>ジカン</t>
    </rPh>
    <rPh sb="5" eb="6">
      <t>スウ</t>
    </rPh>
    <phoneticPr fontId="13"/>
  </si>
  <si>
    <t>利用料</t>
    <rPh sb="0" eb="3">
      <t>リヨウリョウ</t>
    </rPh>
    <phoneticPr fontId="14"/>
  </si>
  <si>
    <t>申請額</t>
    <rPh sb="0" eb="3">
      <t>シンセイガク</t>
    </rPh>
    <phoneticPr fontId="14"/>
  </si>
  <si>
    <t>助成見込額</t>
    <rPh sb="0" eb="2">
      <t>ジョセイ</t>
    </rPh>
    <rPh sb="2" eb="4">
      <t>ミコミ</t>
    </rPh>
    <rPh sb="4" eb="5">
      <t>ガク</t>
    </rPh>
    <phoneticPr fontId="14"/>
  </si>
  <si>
    <t>合計</t>
    <rPh sb="0" eb="2">
      <t>ゴウケイ</t>
    </rPh>
    <phoneticPr fontId="4"/>
  </si>
  <si>
    <t>深夜時間参照値→</t>
    <phoneticPr fontId="4"/>
  </si>
  <si>
    <t>時間</t>
    <phoneticPr fontId="4"/>
  </si>
  <si>
    <t>うち夜間利用時間</t>
    <rPh sb="2" eb="4">
      <t>ヤカン</t>
    </rPh>
    <rPh sb="4" eb="6">
      <t>リヨウ</t>
    </rPh>
    <rPh sb="6" eb="8">
      <t>ジカン</t>
    </rPh>
    <phoneticPr fontId="4"/>
  </si>
  <si>
    <t>補助上限額</t>
    <rPh sb="0" eb="2">
      <t>ホジョ</t>
    </rPh>
    <rPh sb="2" eb="5">
      <t>ジョウゲンガク</t>
    </rPh>
    <phoneticPr fontId="4"/>
  </si>
  <si>
    <t>利用月</t>
    <rPh sb="0" eb="2">
      <t>リヨウ</t>
    </rPh>
    <rPh sb="2" eb="3">
      <t>ツキ</t>
    </rPh>
    <phoneticPr fontId="4"/>
  </si>
  <si>
    <t>児童氏名</t>
    <rPh sb="0" eb="2">
      <t>ジドウ</t>
    </rPh>
    <rPh sb="2" eb="4">
      <t>シメイ</t>
    </rPh>
    <phoneticPr fontId="4"/>
  </si>
  <si>
    <t>No.</t>
    <phoneticPr fontId="3"/>
  </si>
  <si>
    <t>国立市　ベビーシッター利用内訳表</t>
    <phoneticPr fontId="3"/>
  </si>
  <si>
    <t>申請時間※2</t>
    <rPh sb="0" eb="2">
      <t>シンセイ</t>
    </rPh>
    <rPh sb="2" eb="4">
      <t>ジカン</t>
    </rPh>
    <phoneticPr fontId="4"/>
  </si>
  <si>
    <t>※3 エクセル版の場合、計算式による計算結果が表示されます。審査の結果、申請額と交付決定額に相違がある場合がありますので、ご了承ください。</t>
    <rPh sb="7" eb="8">
      <t>バン</t>
    </rPh>
    <rPh sb="9" eb="11">
      <t>バアイ</t>
    </rPh>
    <rPh sb="12" eb="15">
      <t>ケイサンシキ</t>
    </rPh>
    <rPh sb="18" eb="20">
      <t>ケイサン</t>
    </rPh>
    <rPh sb="20" eb="22">
      <t>ケッカ</t>
    </rPh>
    <rPh sb="23" eb="25">
      <t>ヒョウジ</t>
    </rPh>
    <rPh sb="30" eb="32">
      <t>シンサ</t>
    </rPh>
    <rPh sb="33" eb="35">
      <t>ケッカ</t>
    </rPh>
    <rPh sb="36" eb="38">
      <t>シンセイ</t>
    </rPh>
    <rPh sb="38" eb="39">
      <t>ガク</t>
    </rPh>
    <rPh sb="40" eb="42">
      <t>コウフ</t>
    </rPh>
    <rPh sb="42" eb="45">
      <t>ケッテイガク</t>
    </rPh>
    <rPh sb="46" eb="48">
      <t>ソウイ</t>
    </rPh>
    <rPh sb="51" eb="53">
      <t>バアイ</t>
    </rPh>
    <rPh sb="62" eb="64">
      <t>リョウショウ</t>
    </rPh>
    <phoneticPr fontId="4"/>
  </si>
  <si>
    <t>※2 補助対象となる利用時間の上限は、児童1人あたり年間（４月～翌年３月）144時間です。ただし、児童がしょうがい児、ひとり親家庭又は多胎児の場合は288時間です。</t>
    <rPh sb="3" eb="7">
      <t>ホジョタイショウ</t>
    </rPh>
    <rPh sb="10" eb="14">
      <t>リヨウジカン</t>
    </rPh>
    <rPh sb="15" eb="17">
      <t>ジョウゲン</t>
    </rPh>
    <rPh sb="19" eb="21">
      <t>ジドウ</t>
    </rPh>
    <rPh sb="22" eb="23">
      <t>ニン</t>
    </rPh>
    <rPh sb="26" eb="28">
      <t>ネンカン</t>
    </rPh>
    <rPh sb="30" eb="31">
      <t>ガツ</t>
    </rPh>
    <rPh sb="32" eb="34">
      <t>ヨクネン</t>
    </rPh>
    <rPh sb="35" eb="36">
      <t>ガツ</t>
    </rPh>
    <rPh sb="40" eb="42">
      <t>ジカン</t>
    </rPh>
    <rPh sb="49" eb="51">
      <t>ジドウ</t>
    </rPh>
    <rPh sb="57" eb="58">
      <t>ジ</t>
    </rPh>
    <rPh sb="62" eb="63">
      <t>オヤ</t>
    </rPh>
    <rPh sb="63" eb="65">
      <t>カテイ</t>
    </rPh>
    <rPh sb="65" eb="66">
      <t>マタ</t>
    </rPh>
    <rPh sb="67" eb="70">
      <t>タタイジ</t>
    </rPh>
    <rPh sb="71" eb="73">
      <t>バアイ</t>
    </rPh>
    <rPh sb="77" eb="79">
      <t>ジカン</t>
    </rPh>
    <phoneticPr fontId="4"/>
  </si>
  <si>
    <t>　　 この上限時間を超える場合、「申請する利用日」の記載は必要ありません。</t>
    <rPh sb="5" eb="7">
      <t>ジョウゲン</t>
    </rPh>
    <rPh sb="7" eb="9">
      <t>ジカン</t>
    </rPh>
    <rPh sb="10" eb="11">
      <t>コ</t>
    </rPh>
    <rPh sb="13" eb="15">
      <t>バアイ</t>
    </rPh>
    <rPh sb="17" eb="19">
      <t>シンセイ</t>
    </rPh>
    <rPh sb="21" eb="24">
      <t>リヨウビ</t>
    </rPh>
    <rPh sb="26" eb="28">
      <t>キサイ</t>
    </rPh>
    <rPh sb="29" eb="31">
      <t>ヒツヨウ</t>
    </rPh>
    <phoneticPr fontId="3"/>
  </si>
  <si>
    <t>市記入欄
（補助額
計算欄）
※３</t>
    <rPh sb="0" eb="1">
      <t>シ</t>
    </rPh>
    <rPh sb="1" eb="3">
      <t>キニュウ</t>
    </rPh>
    <rPh sb="3" eb="4">
      <t>ラン</t>
    </rPh>
    <rPh sb="6" eb="9">
      <t>ホジョガク</t>
    </rPh>
    <rPh sb="10" eb="12">
      <t>ケイサン</t>
    </rPh>
    <rPh sb="12" eb="13">
      <t>ラン</t>
    </rPh>
    <phoneticPr fontId="4"/>
  </si>
  <si>
    <t>利用時間帯
（２４時間表記でご記載ください）</t>
    <rPh sb="0" eb="2">
      <t>リヨウ</t>
    </rPh>
    <rPh sb="2" eb="5">
      <t>ジカンタイ</t>
    </rPh>
    <rPh sb="9" eb="11">
      <t>ジカン</t>
    </rPh>
    <rPh sb="11" eb="13">
      <t>ヒョウキ</t>
    </rPh>
    <rPh sb="15" eb="17">
      <t>キサイ</t>
    </rPh>
    <phoneticPr fontId="4"/>
  </si>
  <si>
    <t>※１ 入会金、会費、交通費、キャンセル料、保険料、おむつ代等の実費等、サービス提供に付随する料金は「交通費等対象外経費」欄に記載してください。</t>
    <phoneticPr fontId="4"/>
  </si>
  <si>
    <t>No.</t>
  </si>
  <si>
    <t>利用日</t>
  </si>
  <si>
    <t>事業者名</t>
  </si>
  <si>
    <t>利用区分</t>
  </si>
  <si>
    <t>利用時間_時</t>
  </si>
  <si>
    <t>利用時間_分</t>
  </si>
  <si>
    <t>利用分数</t>
  </si>
  <si>
    <t>割引前利用額</t>
  </si>
  <si>
    <t>割引額</t>
  </si>
  <si>
    <t>明細実支出額</t>
  </si>
  <si>
    <t>通常時間単価</t>
  </si>
  <si>
    <t>上限単価</t>
  </si>
  <si>
    <t>基準単価</t>
  </si>
  <si>
    <t>処理前明細基準額</t>
  </si>
  <si>
    <t>日別区分キー</t>
  </si>
  <si>
    <t>日別区分実支出額</t>
  </si>
  <si>
    <t>日別区分処理前基準額</t>
  </si>
  <si>
    <t>日別区分処理前補助額</t>
  </si>
  <si>
    <t>日別区分余裕額</t>
  </si>
  <si>
    <t>無損失切捨可能分数_参考</t>
  </si>
  <si>
    <t>切捨分数</t>
  </si>
  <si>
    <t>処理後利用分数</t>
  </si>
  <si>
    <t>処理後明細基準額</t>
  </si>
  <si>
    <t>日別区分処理後基準額</t>
  </si>
  <si>
    <t>日別区分補助額</t>
  </si>
  <si>
    <t>日別区分代表行</t>
  </si>
  <si>
    <t>区分総利用分数</t>
  </si>
  <si>
    <t>区分必要切捨分数</t>
  </si>
  <si>
    <t>区分入力切捨合計</t>
  </si>
  <si>
    <t>区分端数処理判定</t>
  </si>
  <si>
    <t>入力確認</t>
  </si>
  <si>
    <t>備考</t>
  </si>
  <si>
    <t>利用区分</t>
    <rPh sb="0" eb="4">
      <t>リヨウクブン</t>
    </rPh>
    <phoneticPr fontId="3"/>
  </si>
  <si>
    <t>利用区分１</t>
    <rPh sb="0" eb="4">
      <t>リヨウクブン</t>
    </rPh>
    <phoneticPr fontId="3"/>
  </si>
  <si>
    <t>利用区分２</t>
    <rPh sb="0" eb="4">
      <t>リヨウクブン</t>
    </rPh>
    <phoneticPr fontId="3"/>
  </si>
  <si>
    <t>・記載欄が不足する場合、用紙を追加のうえ、作成してください。</t>
    <phoneticPr fontId="3"/>
  </si>
  <si>
    <r>
      <t>・午前７時から午後１０時までを</t>
    </r>
    <r>
      <rPr>
        <b/>
        <sz val="11"/>
        <rFont val="BIZ UDP明朝 Medium"/>
        <family val="1"/>
        <charset val="128"/>
      </rPr>
      <t>利用区分１</t>
    </r>
    <r>
      <rPr>
        <sz val="11"/>
        <rFont val="BIZ UDP明朝 Medium"/>
        <family val="1"/>
        <charset val="128"/>
      </rPr>
      <t>、午後１０時から翌日の午前７時までを</t>
    </r>
    <r>
      <rPr>
        <b/>
        <sz val="11"/>
        <rFont val="BIZ UDP明朝 Medium"/>
        <family val="1"/>
        <charset val="128"/>
      </rPr>
      <t>利用区分２</t>
    </r>
    <r>
      <rPr>
        <sz val="11"/>
        <rFont val="BIZ UDP明朝 Medium"/>
        <family val="1"/>
        <charset val="128"/>
      </rPr>
      <t>、とします。</t>
    </r>
    <rPh sb="38" eb="42">
      <t>リヨウクブン</t>
    </rPh>
    <phoneticPr fontId="3"/>
  </si>
  <si>
    <t>・申請期間ごと（４～６月、７～９月、10月～12月、１～３月）かつ児童ごとに作成してください。</t>
    <rPh sb="1" eb="3">
      <t>シンセイ</t>
    </rPh>
    <rPh sb="3" eb="5">
      <t>キカン</t>
    </rPh>
    <rPh sb="11" eb="12">
      <t>ガツ</t>
    </rPh>
    <rPh sb="16" eb="17">
      <t>ガツ</t>
    </rPh>
    <rPh sb="20" eb="21">
      <t>ガツ</t>
    </rPh>
    <rPh sb="24" eb="25">
      <t>ガツ</t>
    </rPh>
    <rPh sb="29" eb="30">
      <t>ゲツ</t>
    </rPh>
    <rPh sb="33" eb="35">
      <t>ジドウ</t>
    </rPh>
    <rPh sb="38" eb="40">
      <t>サクセイ</t>
    </rPh>
    <phoneticPr fontId="3"/>
  </si>
  <si>
    <t>利用区分1総利用分数</t>
  </si>
  <si>
    <t>利用区分1補助対象時間</t>
  </si>
  <si>
    <t>利用区分1必要切捨分数</t>
  </si>
  <si>
    <t>利用区分1入力切捨合計</t>
  </si>
  <si>
    <t>利用区分1判定</t>
  </si>
  <si>
    <t>利用区分2総利用分数</t>
  </si>
  <si>
    <t>利用区分2補助対象時間</t>
  </si>
  <si>
    <t>利用区分2必要切捨分数</t>
  </si>
  <si>
    <t>利用区分2入力切捨合計</t>
  </si>
  <si>
    <t>利用区分2判定</t>
  </si>
  <si>
    <t>交付額合計</t>
  </si>
  <si>
    <t>利用区分１合計額</t>
    <rPh sb="0" eb="4">
      <t>リヨウクブン</t>
    </rPh>
    <rPh sb="5" eb="8">
      <t>ゴウケイガク</t>
    </rPh>
    <phoneticPr fontId="3"/>
  </si>
  <si>
    <t>利用区分２合計額</t>
    <rPh sb="0" eb="4">
      <t>リヨウクブン</t>
    </rPh>
    <rPh sb="5" eb="8">
      <t>ゴウケイガク</t>
    </rPh>
    <phoneticPr fontId="3"/>
  </si>
  <si>
    <t>日別区分補助減少額</t>
    <phoneticPr fontId="3"/>
  </si>
  <si>
    <t>次の1分切捨時補助額</t>
    <phoneticPr fontId="3"/>
  </si>
  <si>
    <t>次の1分切捨時減少額</t>
    <phoneticPr fontId="3"/>
  </si>
  <si>
    <t>区分別補助
減少額</t>
    <phoneticPr fontId="3"/>
  </si>
  <si>
    <t>国立　太郎</t>
    <rPh sb="0" eb="2">
      <t>クニタチ</t>
    </rPh>
    <rPh sb="3" eb="5">
      <t>タロウ</t>
    </rPh>
    <phoneticPr fontId="3"/>
  </si>
  <si>
    <t>４～６月</t>
  </si>
  <si>
    <t>区分</t>
    <rPh sb="0" eb="2">
      <t>クブン</t>
    </rPh>
    <phoneticPr fontId="3"/>
  </si>
  <si>
    <t>申請額</t>
    <rPh sb="0" eb="3">
      <t>シンセイガク</t>
    </rPh>
    <phoneticPr fontId="4"/>
  </si>
  <si>
    <t>クーポン等の割引金額（保育料のみ）</t>
    <rPh sb="4" eb="5">
      <t>トウ</t>
    </rPh>
    <rPh sb="6" eb="8">
      <t>ワリビキ</t>
    </rPh>
    <rPh sb="8" eb="10">
      <t>キンガク</t>
    </rPh>
    <rPh sb="11" eb="14">
      <t>ホイクリョウ</t>
    </rPh>
    <phoneticPr fontId="4"/>
  </si>
  <si>
    <t>交通費等
補助対象外経費※1</t>
    <rPh sb="0" eb="3">
      <t>コウツウヒ</t>
    </rPh>
    <rPh sb="3" eb="4">
      <t>トウ</t>
    </rPh>
    <rPh sb="5" eb="7">
      <t>ホジョ</t>
    </rPh>
    <rPh sb="7" eb="9">
      <t>タイショウ</t>
    </rPh>
    <rPh sb="9" eb="10">
      <t>ガイ</t>
    </rPh>
    <rPh sb="10" eb="12">
      <t>ケイヒ</t>
    </rPh>
    <phoneticPr fontId="4"/>
  </si>
  <si>
    <t>記入例</t>
    <rPh sb="0" eb="2">
      <t>キニュウ</t>
    </rPh>
    <rPh sb="2" eb="3">
      <t>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</si>
</sst>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h:mm;@"/>
    <numFmt numFmtId="178" formatCode="0_);[Red]\(0\)"/>
    <numFmt numFmtId="179" formatCode="0;\-0;;@"/>
    <numFmt numFmtId="180" formatCode="m&quot;月&quot;d&quot;日&quot;;@"/>
  </numFmts>
  <fonts count="27" x14ac:knownFonts="1">
    <font>
      <sz val="11"/>
      <color theme="1"/>
      <name val="游ゴシック"/>
      <family val="2"/>
      <charset val="128"/>
      <scheme val="minor"/>
    </font>
    <font>
      <sz val="11"/>
      <color theme="1"/>
      <name val="游ゴシック"/>
      <family val="2"/>
      <charset val="128"/>
      <scheme val="minor"/>
    </font>
    <font>
      <sz val="14"/>
      <name val="BIZ UDP明朝 Medium"/>
      <family val="1"/>
      <charset val="128"/>
    </font>
    <font>
      <sz val="6"/>
      <name val="游ゴシック"/>
      <family val="2"/>
      <charset val="128"/>
      <scheme val="minor"/>
    </font>
    <font>
      <sz val="6"/>
      <name val="游ゴシック"/>
      <family val="3"/>
      <charset val="128"/>
      <scheme val="minor"/>
    </font>
    <font>
      <sz val="18"/>
      <name val="BIZ UDP明朝 Medium"/>
      <family val="1"/>
      <charset val="128"/>
    </font>
    <font>
      <sz val="11"/>
      <name val="BIZ UDP明朝 Medium"/>
      <family val="1"/>
      <charset val="128"/>
    </font>
    <font>
      <sz val="10"/>
      <name val="BIZ UDP明朝 Medium"/>
      <family val="1"/>
      <charset val="128"/>
    </font>
    <font>
      <sz val="12"/>
      <name val="BIZ UDP明朝 Medium"/>
      <family val="1"/>
      <charset val="128"/>
    </font>
    <font>
      <sz val="16"/>
      <name val="BIZ UDP明朝 Medium"/>
      <family val="1"/>
      <charset val="128"/>
    </font>
    <font>
      <b/>
      <sz val="12"/>
      <name val="BIZ UDP明朝 Medium"/>
      <family val="1"/>
      <charset val="128"/>
    </font>
    <font>
      <b/>
      <sz val="14"/>
      <name val="BIZ UDP明朝 Medium"/>
      <family val="1"/>
      <charset val="128"/>
    </font>
    <font>
      <sz val="11"/>
      <color theme="1"/>
      <name val="BIZ UDP明朝 Medium"/>
      <family val="1"/>
      <charset val="128"/>
    </font>
    <font>
      <sz val="14"/>
      <name val="ＭＳ 明朝"/>
      <family val="1"/>
      <charset val="128"/>
    </font>
    <font>
      <sz val="12"/>
      <name val="ＭＳ 明朝"/>
      <family val="1"/>
      <charset val="128"/>
    </font>
    <font>
      <sz val="11"/>
      <name val="BIZ UDPゴシック"/>
      <family val="3"/>
      <charset val="128"/>
    </font>
    <font>
      <b/>
      <sz val="10"/>
      <name val="BIZ UDP明朝 Medium"/>
      <family val="1"/>
      <charset val="128"/>
    </font>
    <font>
      <b/>
      <sz val="11"/>
      <name val="BIZ UDP明朝 Medium"/>
      <family val="1"/>
      <charset val="128"/>
    </font>
    <font>
      <sz val="11"/>
      <color theme="1"/>
      <name val="BIZ UDPゴシック"/>
      <family val="3"/>
      <charset val="128"/>
    </font>
    <font>
      <sz val="11"/>
      <color rgb="FF1F2937"/>
      <name val="BIZ UDPゴシック"/>
      <family val="3"/>
      <charset val="128"/>
    </font>
    <font>
      <b/>
      <sz val="14"/>
      <color theme="1"/>
      <name val="BIZ UDPゴシック"/>
      <family val="3"/>
      <charset val="128"/>
    </font>
    <font>
      <b/>
      <sz val="16"/>
      <color theme="1"/>
      <name val="BIZ UDPゴシック"/>
      <family val="3"/>
      <charset val="128"/>
    </font>
    <font>
      <b/>
      <sz val="14"/>
      <color rgb="FF1F2937"/>
      <name val="BIZ UDPゴシック"/>
      <family val="3"/>
      <charset val="128"/>
    </font>
    <font>
      <sz val="12"/>
      <name val="HG丸ｺﾞｼｯｸM-PRO"/>
      <family val="3"/>
      <charset val="128"/>
    </font>
    <font>
      <sz val="12"/>
      <color theme="1"/>
      <name val="HG丸ｺﾞｼｯｸM-PRO"/>
      <family val="3"/>
      <charset val="128"/>
    </font>
    <font>
      <b/>
      <sz val="10"/>
      <color theme="1"/>
      <name val="BIZ UDPゴシック"/>
      <family val="3"/>
      <charset val="128"/>
    </font>
    <font>
      <b/>
      <sz val="24"/>
      <name val="BIZ UDP明朝 Medium"/>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7" fillId="0" borderId="0" xfId="0" applyFont="1" applyAlignment="1">
      <alignment horizontal="center" vertical="center"/>
    </xf>
    <xf numFmtId="0" fontId="7"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6" xfId="0" applyFont="1" applyBorder="1" applyAlignment="1">
      <alignment horizontal="center" vertical="center" shrinkToFit="1"/>
    </xf>
    <xf numFmtId="0" fontId="7" fillId="2" borderId="3"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177" fontId="7" fillId="0" borderId="1" xfId="0" applyNumberFormat="1" applyFont="1" applyBorder="1" applyAlignment="1">
      <alignment horizontal="center" vertical="center"/>
    </xf>
    <xf numFmtId="178" fontId="6" fillId="0" borderId="0" xfId="0" applyNumberFormat="1" applyFont="1" applyAlignment="1">
      <alignment horizontal="center" vertical="center"/>
    </xf>
    <xf numFmtId="176" fontId="10" fillId="3" borderId="3" xfId="0" applyNumberFormat="1" applyFont="1" applyFill="1" applyBorder="1" applyAlignment="1" applyProtection="1">
      <alignment horizontal="center" vertical="center" shrinkToFit="1"/>
      <protection locked="0"/>
    </xf>
    <xf numFmtId="176" fontId="10" fillId="3" borderId="4" xfId="0" applyNumberFormat="1" applyFont="1" applyFill="1" applyBorder="1" applyAlignment="1" applyProtection="1">
      <alignment horizontal="center" vertical="center" shrinkToFit="1"/>
      <protection locked="0"/>
    </xf>
    <xf numFmtId="0" fontId="6" fillId="0" borderId="0" xfId="0" applyFont="1" applyAlignment="1">
      <alignment horizontal="center" vertical="center"/>
    </xf>
    <xf numFmtId="179" fontId="2" fillId="0" borderId="3" xfId="0" applyNumberFormat="1" applyFont="1" applyBorder="1" applyAlignment="1">
      <alignment horizontal="center" vertical="center" shrinkToFit="1"/>
    </xf>
    <xf numFmtId="179" fontId="2" fillId="0" borderId="4" xfId="0" applyNumberFormat="1" applyFont="1" applyBorder="1" applyAlignment="1">
      <alignment horizontal="center" vertical="center" shrinkToFit="1"/>
    </xf>
    <xf numFmtId="179" fontId="2" fillId="0" borderId="6" xfId="0" applyNumberFormat="1" applyFont="1" applyBorder="1" applyAlignment="1">
      <alignment horizontal="center" vertical="center" shrinkToFi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6" fillId="0" borderId="1" xfId="0" applyFont="1" applyBorder="1" applyAlignment="1">
      <alignment horizontal="center" vertical="center"/>
    </xf>
    <xf numFmtId="0" fontId="7" fillId="0" borderId="4" xfId="0" applyFont="1" applyBorder="1" applyAlignment="1">
      <alignment horizontal="center" vertical="center" shrinkToFit="1"/>
    </xf>
    <xf numFmtId="0" fontId="7" fillId="0" borderId="1" xfId="0" applyFont="1" applyBorder="1" applyAlignment="1">
      <alignment horizontal="center" vertical="center" wrapText="1"/>
    </xf>
    <xf numFmtId="179" fontId="2" fillId="0" borderId="9" xfId="0" applyNumberFormat="1" applyFont="1" applyBorder="1" applyAlignment="1">
      <alignment horizontal="center" vertical="center" shrinkToFit="1"/>
    </xf>
    <xf numFmtId="0" fontId="6" fillId="0" borderId="0" xfId="0" applyFont="1" applyAlignment="1">
      <alignment vertical="center"/>
    </xf>
    <xf numFmtId="0" fontId="7" fillId="0" borderId="14" xfId="0" applyFont="1" applyBorder="1" applyAlignment="1">
      <alignment horizontal="center" vertical="center"/>
    </xf>
    <xf numFmtId="0" fontId="6" fillId="0" borderId="1" xfId="0" applyFont="1" applyBorder="1" applyAlignment="1">
      <alignment horizontal="center" vertical="center" shrinkToFit="1"/>
    </xf>
    <xf numFmtId="38" fontId="7" fillId="0" borderId="1" xfId="0" applyNumberFormat="1" applyFont="1" applyBorder="1" applyAlignment="1">
      <alignment horizontal="center" vertical="center" shrinkToFit="1"/>
    </xf>
    <xf numFmtId="0" fontId="6" fillId="0" borderId="0" xfId="0" applyFont="1" applyAlignment="1">
      <alignment horizontal="center" vertical="center" shrinkToFit="1"/>
    </xf>
    <xf numFmtId="38" fontId="7" fillId="0" borderId="0" xfId="0" applyNumberFormat="1" applyFont="1" applyAlignment="1">
      <alignment horizontal="center" vertical="center" shrinkToFit="1"/>
    </xf>
    <xf numFmtId="0" fontId="12" fillId="0" borderId="0" xfId="0" applyFont="1" applyAlignment="1">
      <alignment horizontal="center" vertical="center"/>
    </xf>
    <xf numFmtId="180" fontId="6" fillId="0" borderId="0" xfId="0" applyNumberFormat="1" applyFont="1" applyAlignment="1">
      <alignment horizontal="center" vertical="center"/>
    </xf>
    <xf numFmtId="0" fontId="6" fillId="0" borderId="3" xfId="0" applyFont="1" applyBorder="1" applyAlignment="1">
      <alignment horizontal="center" vertical="center"/>
    </xf>
    <xf numFmtId="180" fontId="10" fillId="3" borderId="1" xfId="0" applyNumberFormat="1" applyFont="1" applyFill="1" applyBorder="1" applyAlignment="1" applyProtection="1">
      <alignment horizontal="center" vertical="center" shrinkToFit="1"/>
      <protection locked="0"/>
    </xf>
    <xf numFmtId="0" fontId="1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8" fillId="0" borderId="0" xfId="0" applyFont="1" applyAlignment="1">
      <alignment vertical="center"/>
    </xf>
    <xf numFmtId="0" fontId="12" fillId="0" borderId="0" xfId="0" applyFont="1" applyAlignment="1">
      <alignment vertical="center"/>
    </xf>
    <xf numFmtId="176" fontId="12" fillId="0" borderId="0" xfId="0" applyNumberFormat="1" applyFont="1" applyAlignment="1">
      <alignment vertical="center"/>
    </xf>
    <xf numFmtId="0" fontId="6" fillId="0" borderId="1" xfId="0" applyFont="1" applyBorder="1" applyAlignment="1">
      <alignment vertical="center"/>
    </xf>
    <xf numFmtId="0" fontId="7" fillId="0" borderId="0" xfId="0" applyFont="1" applyAlignment="1">
      <alignment horizontal="left" vertical="center"/>
    </xf>
    <xf numFmtId="180" fontId="7" fillId="0" borderId="0" xfId="0" applyNumberFormat="1" applyFont="1" applyAlignment="1">
      <alignment horizontal="center" vertical="center"/>
    </xf>
    <xf numFmtId="38" fontId="7" fillId="0" borderId="0" xfId="0" applyNumberFormat="1" applyFont="1" applyAlignment="1">
      <alignment horizontal="center" vertical="center"/>
    </xf>
    <xf numFmtId="38" fontId="12" fillId="0" borderId="0" xfId="1" applyFont="1" applyAlignment="1">
      <alignment horizontal="center" vertical="center"/>
    </xf>
    <xf numFmtId="38" fontId="12" fillId="4" borderId="0" xfId="1" applyFont="1" applyFill="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23" fillId="0" borderId="1" xfId="0" applyFont="1" applyBorder="1" applyAlignment="1">
      <alignment horizontal="center" vertical="center"/>
    </xf>
    <xf numFmtId="38" fontId="24" fillId="4" borderId="1" xfId="1" applyFont="1" applyFill="1" applyBorder="1" applyAlignment="1">
      <alignment horizontal="center" vertical="center"/>
    </xf>
    <xf numFmtId="0" fontId="23" fillId="0" borderId="1" xfId="0" applyFont="1" applyBorder="1" applyAlignment="1">
      <alignment horizontal="center" vertical="center" wrapText="1"/>
    </xf>
    <xf numFmtId="38" fontId="24" fillId="0" borderId="1" xfId="1" applyFont="1" applyBorder="1" applyAlignment="1">
      <alignment horizontal="center" vertical="center"/>
    </xf>
    <xf numFmtId="38" fontId="18" fillId="0" borderId="1" xfId="1" applyFont="1" applyBorder="1" applyAlignment="1">
      <alignment horizontal="right" vertical="center" shrinkToFit="1"/>
    </xf>
    <xf numFmtId="38" fontId="18" fillId="0" borderId="1" xfId="1" applyFont="1" applyBorder="1" applyAlignment="1">
      <alignment horizontal="center" vertical="center" shrinkToFit="1"/>
    </xf>
    <xf numFmtId="38" fontId="19" fillId="0" borderId="1" xfId="1" applyFont="1" applyBorder="1" applyAlignment="1">
      <alignment horizontal="center" vertical="center" shrinkToFit="1"/>
    </xf>
    <xf numFmtId="38" fontId="15" fillId="0" borderId="1" xfId="1" applyFont="1" applyBorder="1" applyAlignment="1">
      <alignment horizontal="right" vertical="center" shrinkToFit="1"/>
    </xf>
    <xf numFmtId="38" fontId="20" fillId="0" borderId="1" xfId="1" applyFont="1" applyBorder="1" applyAlignment="1">
      <alignment horizontal="center" vertical="center" shrinkToFit="1"/>
    </xf>
    <xf numFmtId="38" fontId="22" fillId="0" borderId="1" xfId="1" applyFont="1" applyBorder="1" applyAlignment="1">
      <alignment horizontal="center" vertical="center" shrinkToFit="1"/>
    </xf>
    <xf numFmtId="38" fontId="21" fillId="0" borderId="1" xfId="1" applyFont="1" applyBorder="1" applyAlignment="1">
      <alignment horizontal="right" vertical="center" shrinkToFit="1"/>
    </xf>
    <xf numFmtId="38" fontId="15" fillId="0" borderId="0" xfId="1" applyFont="1" applyBorder="1" applyAlignment="1">
      <alignment horizontal="center" vertical="center" shrinkToFit="1"/>
    </xf>
    <xf numFmtId="38" fontId="15" fillId="0" borderId="0" xfId="1" applyFont="1" applyBorder="1" applyAlignment="1">
      <alignment horizontal="right" vertical="center" shrinkToFit="1"/>
    </xf>
    <xf numFmtId="38" fontId="25" fillId="0" borderId="1" xfId="1" applyFont="1" applyBorder="1" applyAlignment="1">
      <alignment horizontal="center" vertical="center" wrapText="1" shrinkToFit="1"/>
    </xf>
    <xf numFmtId="0" fontId="10" fillId="0" borderId="0" xfId="0" applyFont="1" applyAlignment="1">
      <alignment horizontal="center" vertical="center" shrinkToFit="1"/>
    </xf>
    <xf numFmtId="0" fontId="16" fillId="0" borderId="0" xfId="0" applyFont="1" applyAlignment="1">
      <alignment horizontal="center" vertical="center" wrapText="1" shrinkToFit="1"/>
    </xf>
    <xf numFmtId="0" fontId="6" fillId="0" borderId="0" xfId="0" applyFont="1" applyAlignment="1">
      <alignment horizontal="left" vertical="center"/>
    </xf>
    <xf numFmtId="38" fontId="12" fillId="0" borderId="0" xfId="1" applyFont="1" applyAlignment="1">
      <alignment horizontal="left" vertical="center"/>
    </xf>
    <xf numFmtId="0" fontId="12" fillId="0" borderId="0" xfId="0" applyFont="1" applyAlignment="1">
      <alignment horizontal="left" vertical="center"/>
    </xf>
    <xf numFmtId="38" fontId="18" fillId="0" borderId="0" xfId="1" applyFont="1" applyFill="1" applyBorder="1" applyAlignment="1">
      <alignment horizontal="right" vertical="center" shrinkToFit="1"/>
    </xf>
    <xf numFmtId="38" fontId="12" fillId="0" borderId="0" xfId="1" applyFont="1" applyAlignment="1">
      <alignment horizontal="right" vertical="center"/>
    </xf>
    <xf numFmtId="0" fontId="23" fillId="0" borderId="13" xfId="0" applyFont="1" applyBorder="1" applyAlignment="1">
      <alignment horizontal="center" vertical="center"/>
    </xf>
    <xf numFmtId="38" fontId="24" fillId="4" borderId="0" xfId="1" applyFont="1" applyFill="1" applyBorder="1" applyAlignment="1">
      <alignment horizontal="center" vertical="center"/>
    </xf>
    <xf numFmtId="38" fontId="2" fillId="0" borderId="6" xfId="1" applyFont="1" applyBorder="1" applyAlignment="1">
      <alignment horizontal="center" vertical="center" shrinkToFit="1"/>
    </xf>
    <xf numFmtId="38" fontId="2" fillId="0" borderId="9" xfId="1" applyFont="1" applyBorder="1" applyAlignment="1">
      <alignment horizontal="center" vertical="center" shrinkToFit="1"/>
    </xf>
    <xf numFmtId="180" fontId="17" fillId="3" borderId="1" xfId="0" applyNumberFormat="1" applyFont="1" applyFill="1" applyBorder="1" applyAlignment="1" applyProtection="1">
      <alignment horizontal="center" vertical="center" wrapText="1" shrinkToFit="1"/>
      <protection locked="0"/>
    </xf>
    <xf numFmtId="180" fontId="10" fillId="3" borderId="3" xfId="0" applyNumberFormat="1" applyFont="1" applyFill="1" applyBorder="1" applyAlignment="1" applyProtection="1">
      <alignment horizontal="center" vertical="center" shrinkToFit="1"/>
      <protection locked="0"/>
    </xf>
    <xf numFmtId="180" fontId="10" fillId="3" borderId="4" xfId="0" applyNumberFormat="1" applyFont="1" applyFill="1" applyBorder="1" applyAlignment="1" applyProtection="1">
      <alignment horizontal="center" vertical="center" shrinkToFit="1"/>
      <protection locked="0"/>
    </xf>
    <xf numFmtId="0" fontId="6" fillId="0" borderId="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38" fontId="11" fillId="3" borderId="1" xfId="1" applyFont="1" applyFill="1" applyBorder="1" applyAlignment="1" applyProtection="1">
      <alignment horizontal="center" vertical="center" shrinkToFit="1"/>
      <protection locked="0"/>
    </xf>
    <xf numFmtId="38" fontId="11" fillId="3" borderId="3" xfId="1" applyFont="1" applyFill="1" applyBorder="1" applyAlignment="1" applyProtection="1">
      <alignment horizontal="center" vertical="center" shrinkToFit="1"/>
      <protection locked="0"/>
    </xf>
    <xf numFmtId="38" fontId="11" fillId="3" borderId="4" xfId="1" applyFont="1" applyFill="1" applyBorder="1" applyAlignment="1" applyProtection="1">
      <alignment horizontal="center" vertical="center" shrinkToFit="1"/>
      <protection locked="0"/>
    </xf>
    <xf numFmtId="0" fontId="6" fillId="0" borderId="0" xfId="0" applyFont="1" applyAlignment="1">
      <alignment horizontal="center" vertical="center"/>
    </xf>
    <xf numFmtId="0" fontId="6" fillId="0" borderId="10" xfId="0" applyFont="1" applyBorder="1" applyAlignment="1">
      <alignment horizontal="center" vertical="center"/>
    </xf>
    <xf numFmtId="38" fontId="2" fillId="0" borderId="1" xfId="1" applyFont="1" applyFill="1" applyBorder="1" applyAlignment="1" applyProtection="1">
      <alignment horizontal="right" vertical="center" shrinkToFit="1"/>
    </xf>
    <xf numFmtId="38" fontId="2" fillId="0" borderId="3" xfId="1" applyFont="1" applyFill="1" applyBorder="1" applyAlignment="1" applyProtection="1">
      <alignment horizontal="right" vertical="center" shrinkToFit="1"/>
    </xf>
    <xf numFmtId="38" fontId="2" fillId="0" borderId="7" xfId="1" applyFont="1" applyFill="1" applyBorder="1" applyAlignment="1" applyProtection="1">
      <alignment horizontal="right" vertical="center" shrinkToFit="1"/>
    </xf>
    <xf numFmtId="38" fontId="2" fillId="0" borderId="5" xfId="1" applyFont="1" applyFill="1" applyBorder="1" applyAlignment="1" applyProtection="1">
      <alignment horizontal="right" vertical="center" shrinkToFit="1"/>
    </xf>
    <xf numFmtId="179" fontId="2" fillId="0" borderId="14" xfId="0" applyNumberFormat="1" applyFont="1" applyBorder="1" applyAlignment="1">
      <alignment horizontal="center" vertical="center" shrinkToFit="1"/>
    </xf>
    <xf numFmtId="179" fontId="2" fillId="0" borderId="3" xfId="0" applyNumberFormat="1" applyFont="1" applyBorder="1" applyAlignment="1">
      <alignment horizontal="center" vertical="center" shrinkToFit="1"/>
    </xf>
    <xf numFmtId="179" fontId="2" fillId="0" borderId="4" xfId="0" applyNumberFormat="1" applyFont="1" applyBorder="1" applyAlignment="1">
      <alignment horizontal="center" vertical="center" shrinkToFit="1"/>
    </xf>
    <xf numFmtId="179" fontId="2" fillId="0" borderId="6" xfId="0" applyNumberFormat="1" applyFont="1" applyBorder="1" applyAlignment="1">
      <alignment horizontal="center" vertical="center" shrinkToFit="1"/>
    </xf>
    <xf numFmtId="179" fontId="2" fillId="0" borderId="1" xfId="0" applyNumberFormat="1" applyFont="1" applyBorder="1" applyAlignment="1">
      <alignment horizontal="center" vertical="center" shrinkToFit="1"/>
    </xf>
    <xf numFmtId="179" fontId="2" fillId="0" borderId="7" xfId="0" applyNumberFormat="1" applyFont="1" applyBorder="1" applyAlignment="1">
      <alignment horizontal="center" vertical="center" shrinkToFit="1"/>
    </xf>
    <xf numFmtId="179" fontId="2" fillId="0" borderId="8" xfId="0" applyNumberFormat="1" applyFont="1" applyBorder="1" applyAlignment="1">
      <alignment horizontal="center" vertical="center" shrinkToFit="1"/>
    </xf>
    <xf numFmtId="179" fontId="2" fillId="0" borderId="9" xfId="0" applyNumberFormat="1" applyFont="1" applyBorder="1" applyAlignment="1">
      <alignment horizontal="center" vertical="center" shrinkToFit="1"/>
    </xf>
    <xf numFmtId="179" fontId="2" fillId="0" borderId="12" xfId="0" applyNumberFormat="1" applyFont="1" applyBorder="1" applyAlignment="1">
      <alignment horizontal="center" vertical="center" shrinkToFit="1"/>
    </xf>
    <xf numFmtId="179" fontId="2" fillId="0" borderId="2" xfId="0" applyNumberFormat="1" applyFont="1" applyBorder="1" applyAlignment="1">
      <alignment horizontal="center" vertical="center" shrinkToFit="1"/>
    </xf>
    <xf numFmtId="179" fontId="2" fillId="0" borderId="13" xfId="0" applyNumberFormat="1" applyFont="1" applyBorder="1" applyAlignment="1">
      <alignment horizontal="center" vertical="center" shrinkToFit="1"/>
    </xf>
    <xf numFmtId="179" fontId="7" fillId="0" borderId="3" xfId="0" applyNumberFormat="1" applyFont="1" applyBorder="1" applyAlignment="1">
      <alignment horizontal="center" vertical="center"/>
    </xf>
    <xf numFmtId="179" fontId="7" fillId="0" borderId="4" xfId="0" applyNumberFormat="1" applyFont="1" applyBorder="1" applyAlignment="1">
      <alignment horizontal="center" vertical="center"/>
    </xf>
    <xf numFmtId="179" fontId="7" fillId="0" borderId="1" xfId="0" applyNumberFormat="1" applyFont="1" applyBorder="1" applyAlignment="1">
      <alignment horizontal="center" vertical="center" wrapText="1"/>
    </xf>
    <xf numFmtId="179" fontId="7" fillId="0" borderId="5" xfId="0" applyNumberFormat="1" applyFont="1" applyBorder="1" applyAlignment="1">
      <alignment horizontal="center" vertical="center" wrapText="1"/>
    </xf>
    <xf numFmtId="179" fontId="7" fillId="0" borderId="5" xfId="0" applyNumberFormat="1" applyFont="1" applyBorder="1" applyAlignment="1">
      <alignment horizontal="center" vertical="center"/>
    </xf>
    <xf numFmtId="38" fontId="2" fillId="0" borderId="3" xfId="1" applyFont="1" applyBorder="1" applyAlignment="1">
      <alignment horizontal="right" vertical="center" shrinkToFit="1"/>
    </xf>
    <xf numFmtId="38" fontId="2" fillId="0" borderId="4" xfId="1" applyFont="1" applyBorder="1" applyAlignment="1">
      <alignment horizontal="right" vertical="center" shrinkToFit="1"/>
    </xf>
    <xf numFmtId="38" fontId="2" fillId="0" borderId="14" xfId="1" applyFont="1" applyBorder="1" applyAlignment="1" applyProtection="1">
      <alignment horizontal="center" vertical="center" shrinkToFit="1"/>
    </xf>
    <xf numFmtId="179" fontId="6" fillId="0" borderId="1" xfId="0" applyNumberFormat="1" applyFont="1" applyBorder="1" applyAlignment="1">
      <alignment horizontal="center" vertical="center" wrapText="1" shrinkToFit="1"/>
    </xf>
    <xf numFmtId="38" fontId="6" fillId="0" borderId="1" xfId="1" applyFont="1" applyBorder="1" applyAlignment="1">
      <alignment horizontal="center" vertical="center" wrapText="1" shrinkToFit="1"/>
    </xf>
    <xf numFmtId="0" fontId="12" fillId="0" borderId="0" xfId="0" applyFont="1" applyAlignment="1">
      <alignment horizontal="left" vertical="center" wrapText="1"/>
    </xf>
    <xf numFmtId="0" fontId="12" fillId="0" borderId="2" xfId="0" applyFont="1" applyBorder="1" applyAlignment="1">
      <alignment horizontal="left" vertical="center" wrapText="1"/>
    </xf>
    <xf numFmtId="179" fontId="8" fillId="0" borderId="7" xfId="0" applyNumberFormat="1" applyFont="1" applyBorder="1" applyAlignment="1">
      <alignment horizontal="center" vertical="center" wrapText="1"/>
    </xf>
    <xf numFmtId="179" fontId="8" fillId="0" borderId="8" xfId="0" applyNumberFormat="1" applyFont="1" applyBorder="1" applyAlignment="1">
      <alignment horizontal="center" vertical="center"/>
    </xf>
    <xf numFmtId="179" fontId="8" fillId="0" borderId="9" xfId="0" applyNumberFormat="1" applyFont="1" applyBorder="1" applyAlignment="1">
      <alignment horizontal="center" vertical="center"/>
    </xf>
    <xf numFmtId="179" fontId="8" fillId="0" borderId="11" xfId="0" applyNumberFormat="1" applyFont="1" applyBorder="1" applyAlignment="1">
      <alignment horizontal="center" vertical="center"/>
    </xf>
    <xf numFmtId="179" fontId="8" fillId="0" borderId="0" xfId="0" applyNumberFormat="1" applyFont="1" applyAlignment="1">
      <alignment horizontal="center" vertical="center"/>
    </xf>
    <xf numFmtId="179" fontId="8" fillId="0" borderId="10" xfId="0" applyNumberFormat="1" applyFont="1" applyBorder="1" applyAlignment="1">
      <alignment horizontal="center" vertical="center"/>
    </xf>
    <xf numFmtId="179" fontId="8" fillId="0" borderId="12" xfId="0" applyNumberFormat="1" applyFont="1" applyBorder="1" applyAlignment="1">
      <alignment horizontal="center" vertical="center"/>
    </xf>
    <xf numFmtId="179" fontId="8" fillId="0" borderId="2" xfId="0" applyNumberFormat="1" applyFont="1" applyBorder="1" applyAlignment="1">
      <alignment horizontal="center" vertical="center"/>
    </xf>
    <xf numFmtId="179" fontId="8" fillId="0" borderId="13" xfId="0" applyNumberFormat="1"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6" fillId="0" borderId="1"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shrinkToFit="1"/>
    </xf>
    <xf numFmtId="0" fontId="7" fillId="0" borderId="4" xfId="0" applyFont="1" applyBorder="1" applyAlignment="1">
      <alignment horizontal="center" vertical="center" shrinkToFit="1"/>
    </xf>
    <xf numFmtId="0" fontId="7" fillId="0" borderId="1" xfId="0" applyFont="1" applyBorder="1" applyAlignment="1">
      <alignment horizontal="center" vertical="center" wrapText="1"/>
    </xf>
    <xf numFmtId="0" fontId="9" fillId="3" borderId="3"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9" fillId="3" borderId="6"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38" fontId="2" fillId="0" borderId="1" xfId="1" applyFont="1" applyFill="1" applyBorder="1" applyAlignment="1" applyProtection="1">
      <alignment horizontal="center" vertical="center" shrinkToFit="1"/>
    </xf>
    <xf numFmtId="38" fontId="2" fillId="0" borderId="3" xfId="1" applyFont="1" applyFill="1" applyBorder="1" applyAlignment="1" applyProtection="1">
      <alignment horizontal="center" vertical="center" shrinkToFit="1"/>
    </xf>
    <xf numFmtId="38" fontId="2" fillId="0" borderId="7" xfId="1" applyFont="1" applyFill="1" applyBorder="1" applyAlignment="1" applyProtection="1">
      <alignment horizontal="center" vertical="center" shrinkToFit="1"/>
    </xf>
    <xf numFmtId="38" fontId="2" fillId="0" borderId="5" xfId="1" applyFont="1" applyFill="1" applyBorder="1" applyAlignment="1" applyProtection="1">
      <alignment horizontal="center" vertical="center" shrinkToFit="1"/>
    </xf>
    <xf numFmtId="38" fontId="2" fillId="0" borderId="3" xfId="1" applyFont="1" applyBorder="1" applyAlignment="1">
      <alignment horizontal="center" vertical="center" shrinkToFit="1"/>
    </xf>
    <xf numFmtId="38" fontId="2" fillId="0" borderId="4" xfId="1" applyFont="1" applyBorder="1" applyAlignment="1">
      <alignment horizontal="center" vertical="center" shrinkToFit="1"/>
    </xf>
    <xf numFmtId="38" fontId="2" fillId="0" borderId="1" xfId="1" applyFont="1" applyBorder="1" applyAlignment="1" applyProtection="1">
      <alignment horizontal="center" vertical="center" shrinkToFit="1"/>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26" fillId="0" borderId="18" xfId="0" applyFont="1" applyBorder="1" applyAlignment="1">
      <alignment horizontal="center" vertical="center"/>
    </xf>
    <xf numFmtId="0" fontId="26" fillId="0" borderId="0" xfId="0" applyFont="1" applyBorder="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cellXfs>
  <cellStyles count="2">
    <cellStyle name="桁区切り" xfId="1" builtinId="6"/>
    <cellStyle name="標準" xfId="0" builtinId="0"/>
  </cellStyles>
  <dxfs count="79">
    <dxf>
      <font>
        <b val="0"/>
        <i val="0"/>
        <strike val="0"/>
        <condense val="0"/>
        <extend val="0"/>
        <outline val="0"/>
        <shadow val="0"/>
        <u val="none"/>
        <vertAlign val="baseline"/>
        <sz val="11"/>
        <color theme="1"/>
        <name val="BIZ UDP明朝 Medium"/>
        <family val="1"/>
        <charset val="128"/>
        <scheme val="none"/>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numFmt numFmtId="6" formatCode="#,##0;[Red]\-#,##0"/>
      <alignment horizontal="left"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border outline="0">
        <left style="thin">
          <color indexed="64"/>
        </left>
      </border>
    </dxf>
    <dxf>
      <font>
        <b val="0"/>
        <i val="0"/>
        <strike val="0"/>
        <condense val="0"/>
        <extend val="0"/>
        <outline val="0"/>
        <shadow val="0"/>
        <u val="none"/>
        <vertAlign val="baseline"/>
        <sz val="12"/>
        <color theme="1"/>
        <name val="HG丸ｺﾞｼｯｸM-PRO"/>
        <family val="3"/>
        <charset val="128"/>
        <scheme val="none"/>
      </font>
      <numFmt numFmtId="6" formatCode="#,##0;[Red]\-#,##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BIZ UDP明朝 Medium"/>
        <family val="1"/>
        <charset val="128"/>
        <scheme val="none"/>
      </font>
      <numFmt numFmtId="6" formatCode="#,##0;[Red]\-#,##0"/>
      <alignment horizontal="center" vertical="center" textRotation="0" wrapText="0" indent="0" justifyLastLine="0" shrinkToFit="0" readingOrder="0"/>
      <border outline="0">
        <right style="thin">
          <color indexed="64"/>
        </right>
      </border>
    </dxf>
    <dxf>
      <font>
        <b val="0"/>
        <i val="0"/>
        <strike val="0"/>
        <condense val="0"/>
        <extend val="0"/>
        <outline val="0"/>
        <shadow val="0"/>
        <u val="none"/>
        <vertAlign val="baseline"/>
        <sz val="11"/>
        <color theme="1"/>
        <name val="BIZ UDP明朝 Medium"/>
        <family val="1"/>
        <charset val="128"/>
        <scheme val="none"/>
      </font>
      <numFmt numFmtId="6" formatCode="#,##0;[Red]\-#,##0"/>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HG丸ｺﾞｼｯｸM-PRO"/>
        <family val="3"/>
        <charset val="128"/>
        <scheme val="none"/>
      </font>
      <numFmt numFmtId="6" formatCode="#,##0;[Red]\-#,##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HG丸ｺﾞｼｯｸM-PRO"/>
        <family val="3"/>
        <charset val="128"/>
        <scheme val="none"/>
      </font>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right"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BIZ UDP明朝 Medium"/>
        <family val="1"/>
        <charset val="128"/>
        <scheme val="none"/>
      </font>
      <numFmt numFmtId="6" formatCode="#,##0;[Red]\-#,##0"/>
      <alignment horizontal="center" vertical="center" textRotation="0" wrapText="0" indent="0" justifyLastLine="0" shrinkToFit="0" readingOrder="0"/>
    </dxf>
    <dxf>
      <font>
        <b val="0"/>
        <i val="0"/>
        <strike val="0"/>
        <condense val="0"/>
        <extend val="0"/>
        <outline val="0"/>
        <shadow val="0"/>
        <u val="none"/>
        <vertAlign val="baseline"/>
        <sz val="10"/>
        <color auto="1"/>
        <name val="BIZ UDP明朝 Medium"/>
        <family val="1"/>
        <charset val="128"/>
        <scheme val="none"/>
      </font>
      <numFmt numFmtId="6" formatCode="#,##0;[Red]\-#,##0"/>
      <alignment horizontal="center" vertical="center" textRotation="0" wrapText="0" indent="0" justifyLastLine="0" shrinkToFit="0" readingOrder="0"/>
    </dxf>
    <dxf>
      <font>
        <b val="0"/>
        <i val="0"/>
        <strike val="0"/>
        <condense val="0"/>
        <extend val="0"/>
        <outline val="0"/>
        <shadow val="0"/>
        <u val="none"/>
        <vertAlign val="baseline"/>
        <sz val="10"/>
        <color auto="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BIZ UDP明朝 Medium"/>
        <family val="1"/>
        <charset val="128"/>
        <scheme val="none"/>
      </font>
      <alignment horizontal="center" vertical="center" textRotation="0" wrapText="0" indent="0" justifyLastLine="0" shrinkToFit="0" readingOrder="0"/>
    </dxf>
    <dxf>
      <border outline="0">
        <left style="thin">
          <color rgb="FF000000"/>
        </left>
        <top style="thin">
          <color rgb="FF000000"/>
        </top>
      </border>
    </dxf>
    <dxf>
      <font>
        <b val="0"/>
        <i val="0"/>
        <strike val="0"/>
        <condense val="0"/>
        <extend val="0"/>
        <outline val="0"/>
        <shadow val="0"/>
        <u val="none"/>
        <vertAlign val="baseline"/>
        <sz val="10"/>
        <color auto="1"/>
        <name val="BIZ UDP明朝 Medium"/>
        <family val="1"/>
        <charset val="128"/>
        <scheme val="none"/>
      </font>
      <alignment horizontal="center"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10"/>
        <color auto="1"/>
        <name val="BIZ UDP明朝 Medium"/>
        <family val="1"/>
        <charset val="128"/>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BIZ UDP明朝 Medium"/>
        <family val="1"/>
        <charset val="128"/>
        <scheme val="none"/>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numFmt numFmtId="6" formatCode="#,##0;[Red]\-#,##0"/>
      <alignment horizontal="left"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border outline="0">
        <left style="thin">
          <color indexed="64"/>
        </left>
      </border>
    </dxf>
    <dxf>
      <font>
        <b val="0"/>
        <i val="0"/>
        <strike val="0"/>
        <condense val="0"/>
        <extend val="0"/>
        <outline val="0"/>
        <shadow val="0"/>
        <u val="none"/>
        <vertAlign val="baseline"/>
        <sz val="12"/>
        <color theme="1"/>
        <name val="HG丸ｺﾞｼｯｸM-PRO"/>
        <family val="3"/>
        <charset val="128"/>
        <scheme val="none"/>
      </font>
      <numFmt numFmtId="6" formatCode="#,##0;[Red]\-#,##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BIZ UDP明朝 Medium"/>
        <family val="1"/>
        <charset val="128"/>
        <scheme val="none"/>
      </font>
      <numFmt numFmtId="6" formatCode="#,##0;[Red]\-#,##0"/>
      <alignment horizontal="center" vertical="center" textRotation="0" wrapText="0" indent="0" justifyLastLine="0" shrinkToFit="0" readingOrder="0"/>
      <border outline="0">
        <right style="thin">
          <color indexed="64"/>
        </right>
      </border>
    </dxf>
    <dxf>
      <font>
        <b val="0"/>
        <i val="0"/>
        <strike val="0"/>
        <condense val="0"/>
        <extend val="0"/>
        <outline val="0"/>
        <shadow val="0"/>
        <u val="none"/>
        <vertAlign val="baseline"/>
        <sz val="11"/>
        <color theme="1"/>
        <name val="BIZ UDP明朝 Medium"/>
        <family val="1"/>
        <charset val="128"/>
        <scheme val="none"/>
      </font>
      <numFmt numFmtId="6" formatCode="#,##0;[Red]\-#,##0"/>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HG丸ｺﾞｼｯｸM-PRO"/>
        <family val="3"/>
        <charset val="128"/>
        <scheme val="none"/>
      </font>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BIZ UDP明朝 Medium"/>
        <family val="1"/>
        <charset val="128"/>
        <scheme val="none"/>
      </font>
      <numFmt numFmtId="6" formatCode="#,##0;[Red]\-#,##0"/>
      <alignment horizontal="center" vertical="center" textRotation="0" wrapText="0" indent="0" justifyLastLine="0" shrinkToFit="0" readingOrder="0"/>
    </dxf>
    <dxf>
      <font>
        <b val="0"/>
        <i val="0"/>
        <strike val="0"/>
        <condense val="0"/>
        <extend val="0"/>
        <outline val="0"/>
        <shadow val="0"/>
        <u val="none"/>
        <vertAlign val="baseline"/>
        <sz val="10"/>
        <color auto="1"/>
        <name val="BIZ UDP明朝 Medium"/>
        <family val="1"/>
        <charset val="128"/>
        <scheme val="none"/>
      </font>
      <numFmt numFmtId="6" formatCode="#,##0;[Red]\-#,##0"/>
      <alignment horizontal="center" vertical="center" textRotation="0" wrapText="0" indent="0" justifyLastLine="0" shrinkToFit="0" readingOrder="0"/>
    </dxf>
    <dxf>
      <font>
        <b val="0"/>
        <i val="0"/>
        <strike val="0"/>
        <condense val="0"/>
        <extend val="0"/>
        <outline val="0"/>
        <shadow val="0"/>
        <u val="none"/>
        <vertAlign val="baseline"/>
        <sz val="10"/>
        <color auto="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BIZ UDP明朝 Medium"/>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BIZ UDP明朝 Medium"/>
        <family val="1"/>
        <charset val="128"/>
        <scheme val="none"/>
      </font>
      <alignment horizontal="center" vertical="center" textRotation="0" wrapText="0" indent="0" justifyLastLine="0" shrinkToFit="0" readingOrder="0"/>
    </dxf>
    <dxf>
      <border outline="0">
        <left style="thin">
          <color indexed="64"/>
        </left>
        <top style="thin">
          <color indexed="64"/>
        </top>
      </border>
    </dxf>
    <dxf>
      <font>
        <b val="0"/>
        <i val="0"/>
        <strike val="0"/>
        <condense val="0"/>
        <extend val="0"/>
        <outline val="0"/>
        <shadow val="0"/>
        <u val="none"/>
        <vertAlign val="baseline"/>
        <sz val="10"/>
        <color auto="1"/>
        <name val="BIZ UDP明朝 Medium"/>
        <family val="1"/>
        <charset val="128"/>
        <scheme val="none"/>
      </font>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auto="1"/>
        <name val="BIZ UDP明朝 Medium"/>
        <family val="1"/>
        <charset val="128"/>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210913</xdr:colOff>
      <xdr:row>20</xdr:row>
      <xdr:rowOff>122464</xdr:rowOff>
    </xdr:from>
    <xdr:to>
      <xdr:col>25</xdr:col>
      <xdr:colOff>115662</xdr:colOff>
      <xdr:row>33</xdr:row>
      <xdr:rowOff>136071</xdr:rowOff>
    </xdr:to>
    <xdr:sp macro="" textlink="">
      <xdr:nvSpPr>
        <xdr:cNvPr id="3" name="吹き出し: 角を丸めた四角形 2">
          <a:extLst>
            <a:ext uri="{FF2B5EF4-FFF2-40B4-BE49-F238E27FC236}">
              <a16:creationId xmlns:a16="http://schemas.microsoft.com/office/drawing/2014/main" id="{A7400F06-4248-EC90-63CB-AE35D8B59624}"/>
            </a:ext>
          </a:extLst>
        </xdr:cNvPr>
        <xdr:cNvSpPr/>
      </xdr:nvSpPr>
      <xdr:spPr>
        <a:xfrm>
          <a:off x="7259413" y="6766152"/>
          <a:ext cx="3524249" cy="4657044"/>
        </a:xfrm>
        <a:prstGeom prst="wedgeRoundRectCallout">
          <a:avLst>
            <a:gd name="adj1" fmla="val 31237"/>
            <a:gd name="adj2" fmla="val -74547"/>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400" b="0" i="0">
              <a:solidFill>
                <a:schemeClr val="lt1"/>
              </a:solidFill>
              <a:effectLst/>
              <a:latin typeface="HG丸ｺﾞｼｯｸM-PRO" panose="020F0600000000000000" pitchFamily="50" charset="-128"/>
              <a:ea typeface="HG丸ｺﾞｼｯｸM-PRO" panose="020F0600000000000000" pitchFamily="50" charset="-128"/>
              <a:cs typeface="+mn-cs"/>
            </a:rPr>
            <a:t>クーポンの金額欄には、「保育料」を割引する金額のみをご記入ください。</a:t>
          </a:r>
          <a:endParaRPr lang="en-US" altLang="ja-JP" sz="1400" b="0" i="0">
            <a:solidFill>
              <a:schemeClr val="lt1"/>
            </a:solidFill>
            <a:effectLst/>
            <a:latin typeface="HG丸ｺﾞｼｯｸM-PRO" panose="020F0600000000000000" pitchFamily="50" charset="-128"/>
            <a:ea typeface="HG丸ｺﾞｼｯｸM-PRO" panose="020F0600000000000000" pitchFamily="50" charset="-128"/>
            <a:cs typeface="+mn-cs"/>
          </a:endParaRPr>
        </a:p>
        <a:p>
          <a:pPr algn="l"/>
          <a:endParaRPr lang="en-US" altLang="ja-JP" sz="1400" b="0" i="0">
            <a:solidFill>
              <a:schemeClr val="lt1"/>
            </a:solidFill>
            <a:effectLst/>
            <a:latin typeface="HG丸ｺﾞｼｯｸM-PRO" panose="020F0600000000000000" pitchFamily="50" charset="-128"/>
            <a:ea typeface="HG丸ｺﾞｼｯｸM-PRO" panose="020F0600000000000000" pitchFamily="50" charset="-128"/>
            <a:cs typeface="+mn-cs"/>
          </a:endParaRPr>
        </a:p>
        <a:p>
          <a:pPr algn="l"/>
          <a:r>
            <a:rPr lang="ja-JP" altLang="en-US" sz="1400" b="0" i="0">
              <a:solidFill>
                <a:schemeClr val="lt1"/>
              </a:solidFill>
              <a:effectLst/>
              <a:latin typeface="HG丸ｺﾞｼｯｸM-PRO" panose="020F0600000000000000" pitchFamily="50" charset="-128"/>
              <a:ea typeface="HG丸ｺﾞｼｯｸM-PRO" panose="020F0600000000000000" pitchFamily="50" charset="-128"/>
              <a:cs typeface="+mn-cs"/>
            </a:rPr>
            <a:t>補助金の計算上、保育料以外の費用（交通費等）を含んで記載した場合、算出される補助金額に影響が出る場合がございます。</a:t>
          </a:r>
          <a:endParaRPr lang="en-US" altLang="ja-JP" sz="1400" b="0" i="0">
            <a:solidFill>
              <a:schemeClr val="lt1"/>
            </a:solidFill>
            <a:effectLst/>
            <a:latin typeface="HG丸ｺﾞｼｯｸM-PRO" panose="020F0600000000000000" pitchFamily="50" charset="-128"/>
            <a:ea typeface="HG丸ｺﾞｼｯｸM-PRO" panose="020F0600000000000000" pitchFamily="50" charset="-128"/>
            <a:cs typeface="+mn-cs"/>
          </a:endParaRPr>
        </a:p>
        <a:p>
          <a:pPr algn="l"/>
          <a:endParaRPr lang="en-US" altLang="ja-JP" sz="1400" b="0" i="0">
            <a:solidFill>
              <a:schemeClr val="lt1"/>
            </a:solidFill>
            <a:effectLst/>
            <a:latin typeface="HG丸ｺﾞｼｯｸM-PRO" panose="020F0600000000000000" pitchFamily="50" charset="-128"/>
            <a:ea typeface="HG丸ｺﾞｼｯｸM-PRO" panose="020F0600000000000000" pitchFamily="50" charset="-128"/>
            <a:cs typeface="+mn-cs"/>
          </a:endParaRPr>
        </a:p>
        <a:p>
          <a:pPr algn="l"/>
          <a:r>
            <a:rPr lang="ja-JP" altLang="en-US" sz="1400" b="0" i="0">
              <a:solidFill>
                <a:schemeClr val="lt1"/>
              </a:solidFill>
              <a:effectLst/>
              <a:latin typeface="HG丸ｺﾞｼｯｸM-PRO" panose="020F0600000000000000" pitchFamily="50" charset="-128"/>
              <a:ea typeface="HG丸ｺﾞｼｯｸM-PRO" panose="020F0600000000000000" pitchFamily="50" charset="-128"/>
              <a:cs typeface="+mn-cs"/>
            </a:rPr>
            <a:t>事業者ごとの運用方針に基づき、クーポンで割引できる費用（保育料のみ等）を定めております。そのため、「お手元のクーポンがどの費用に利用可能か」は事業者ごとに異なります。</a:t>
          </a:r>
          <a:endParaRPr lang="en-US" altLang="ja-JP" sz="1400" b="0" i="0">
            <a:solidFill>
              <a:schemeClr val="lt1"/>
            </a:solidFill>
            <a:effectLst/>
            <a:latin typeface="HG丸ｺﾞｼｯｸM-PRO" panose="020F0600000000000000" pitchFamily="50" charset="-128"/>
            <a:ea typeface="HG丸ｺﾞｼｯｸM-PRO" panose="020F0600000000000000" pitchFamily="50" charset="-128"/>
            <a:cs typeface="+mn-cs"/>
          </a:endParaRPr>
        </a:p>
        <a:p>
          <a:pPr algn="l"/>
          <a:endParaRPr lang="ja-JP" altLang="en-US" sz="1400" b="0" i="0">
            <a:solidFill>
              <a:schemeClr val="lt1"/>
            </a:solidFill>
            <a:effectLst/>
            <a:latin typeface="HG丸ｺﾞｼｯｸM-PRO" panose="020F0600000000000000" pitchFamily="50" charset="-128"/>
            <a:ea typeface="HG丸ｺﾞｼｯｸM-PRO" panose="020F0600000000000000" pitchFamily="50" charset="-128"/>
            <a:cs typeface="+mn-cs"/>
          </a:endParaRPr>
        </a:p>
        <a:p>
          <a:pPr algn="l"/>
          <a:r>
            <a:rPr lang="ja-JP" altLang="en-US" sz="1400" b="0" i="0">
              <a:solidFill>
                <a:schemeClr val="lt1"/>
              </a:solidFill>
              <a:effectLst/>
              <a:latin typeface="HG丸ｺﾞｼｯｸM-PRO" panose="020F0600000000000000" pitchFamily="50" charset="-128"/>
              <a:ea typeface="HG丸ｺﾞｼｯｸM-PRO" panose="020F0600000000000000" pitchFamily="50" charset="-128"/>
              <a:cs typeface="+mn-cs"/>
            </a:rPr>
            <a:t>正確な補助金額を算出するために、記載の際はあらかじめ事業者へご確認いただきますようお願いいたします。</a:t>
          </a:r>
        </a:p>
        <a:p>
          <a:pPr algn="l"/>
          <a:endParaRPr lang="en-US" altLang="ja-JP" sz="1100" b="0" i="0">
            <a:solidFill>
              <a:schemeClr val="lt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xdr:col>
      <xdr:colOff>176893</xdr:colOff>
      <xdr:row>2</xdr:row>
      <xdr:rowOff>95251</xdr:rowOff>
    </xdr:from>
    <xdr:to>
      <xdr:col>10</xdr:col>
      <xdr:colOff>326572</xdr:colOff>
      <xdr:row>5</xdr:row>
      <xdr:rowOff>0</xdr:rowOff>
    </xdr:to>
    <xdr:sp macro="" textlink="">
      <xdr:nvSpPr>
        <xdr:cNvPr id="4" name="吹き出し: 角を丸めた四角形 3">
          <a:extLst>
            <a:ext uri="{FF2B5EF4-FFF2-40B4-BE49-F238E27FC236}">
              <a16:creationId xmlns:a16="http://schemas.microsoft.com/office/drawing/2014/main" id="{8283525F-00FF-F7DD-C5D8-80CDE7B6E8D0}"/>
            </a:ext>
          </a:extLst>
        </xdr:cNvPr>
        <xdr:cNvSpPr/>
      </xdr:nvSpPr>
      <xdr:spPr>
        <a:xfrm>
          <a:off x="938893" y="585108"/>
          <a:ext cx="3224893" cy="816428"/>
        </a:xfrm>
        <a:prstGeom prst="wedgeRoundRectCallout">
          <a:avLst>
            <a:gd name="adj1" fmla="val -33897"/>
            <a:gd name="adj2" fmla="val 107773"/>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0">
              <a:solidFill>
                <a:schemeClr val="lt1"/>
              </a:solidFill>
              <a:effectLst/>
              <a:latin typeface="HG丸ｺﾞｼｯｸM-PRO" panose="020F0600000000000000" pitchFamily="50" charset="-128"/>
              <a:ea typeface="HG丸ｺﾞｼｯｸM-PRO" panose="020F0600000000000000" pitchFamily="50" charset="-128"/>
              <a:cs typeface="+mn-cs"/>
            </a:rPr>
            <a:t>２２時より前に開始し２２時以降も利用する場合は、この記入例の６月５日のように２段に分けて入力してください</a:t>
          </a:r>
          <a:r>
            <a:rPr kumimoji="1" lang="ja-JP" altLang="en-US" sz="1200" b="0">
              <a:solidFill>
                <a:schemeClr val="lt1"/>
              </a:solidFill>
              <a:effectLst/>
              <a:latin typeface="HG丸ｺﾞｼｯｸM-PRO" panose="020F0600000000000000" pitchFamily="50" charset="-128"/>
              <a:ea typeface="HG丸ｺﾞｼｯｸM-PRO" panose="020F0600000000000000" pitchFamily="50" charset="-128"/>
              <a:cs typeface="+mn-cs"/>
            </a:rPr>
            <a:t>。</a:t>
          </a:r>
          <a:endParaRPr lang="ja-JP" altLang="ja-JP" sz="1200" b="0">
            <a:effectLst/>
            <a:latin typeface="HG丸ｺﾞｼｯｸM-PRO" panose="020F0600000000000000" pitchFamily="50" charset="-128"/>
            <a:ea typeface="HG丸ｺﾞｼｯｸM-PRO" panose="020F0600000000000000" pitchFamily="50" charset="-128"/>
          </a:endParaRPr>
        </a:p>
        <a:p>
          <a:pPr algn="l"/>
          <a:endParaRPr kumimoji="1" lang="ja-JP" altLang="en-US" sz="1100"/>
        </a:p>
      </xdr:txBody>
    </xdr:sp>
    <xdr:clientData/>
  </xdr:twoCellAnchor>
  <xdr:twoCellAnchor>
    <xdr:from>
      <xdr:col>5</xdr:col>
      <xdr:colOff>217714</xdr:colOff>
      <xdr:row>18</xdr:row>
      <xdr:rowOff>43542</xdr:rowOff>
    </xdr:from>
    <xdr:to>
      <xdr:col>16</xdr:col>
      <xdr:colOff>193222</xdr:colOff>
      <xdr:row>28</xdr:row>
      <xdr:rowOff>0</xdr:rowOff>
    </xdr:to>
    <xdr:sp macro="" textlink="">
      <xdr:nvSpPr>
        <xdr:cNvPr id="5" name="吹き出し: 角を丸めた四角形 4">
          <a:extLst>
            <a:ext uri="{FF2B5EF4-FFF2-40B4-BE49-F238E27FC236}">
              <a16:creationId xmlns:a16="http://schemas.microsoft.com/office/drawing/2014/main" id="{F901C68E-7DD0-42C9-8C79-B85B399CFCBA}"/>
            </a:ext>
          </a:extLst>
        </xdr:cNvPr>
        <xdr:cNvSpPr/>
      </xdr:nvSpPr>
      <xdr:spPr>
        <a:xfrm>
          <a:off x="2000250" y="6112328"/>
          <a:ext cx="4751615" cy="3630386"/>
        </a:xfrm>
        <a:prstGeom prst="wedgeRoundRectCallout">
          <a:avLst>
            <a:gd name="adj1" fmla="val 65415"/>
            <a:gd name="adj2" fmla="val -59245"/>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400" b="0" i="0">
              <a:solidFill>
                <a:schemeClr val="lt1"/>
              </a:solidFill>
              <a:effectLst/>
              <a:latin typeface="HG丸ｺﾞｼｯｸM-PRO" panose="020F0600000000000000" pitchFamily="50" charset="-128"/>
              <a:ea typeface="HG丸ｺﾞｼｯｸM-PRO" panose="020F0600000000000000" pitchFamily="50" charset="-128"/>
              <a:cs typeface="+mn-cs"/>
            </a:rPr>
            <a:t>申請書には、お子様一人ひとりのベビーシッター利用料をご記入ください。</a:t>
          </a:r>
          <a:endParaRPr lang="en-US" altLang="ja-JP" sz="1400" b="0" i="0">
            <a:solidFill>
              <a:schemeClr val="lt1"/>
            </a:solidFill>
            <a:effectLst/>
            <a:latin typeface="HG丸ｺﾞｼｯｸM-PRO" panose="020F0600000000000000" pitchFamily="50" charset="-128"/>
            <a:ea typeface="HG丸ｺﾞｼｯｸM-PRO" panose="020F0600000000000000" pitchFamily="50" charset="-128"/>
            <a:cs typeface="+mn-cs"/>
          </a:endParaRPr>
        </a:p>
        <a:p>
          <a:endParaRPr lang="ja-JP" altLang="en-US" sz="1400" b="0" i="0">
            <a:solidFill>
              <a:schemeClr val="lt1"/>
            </a:solidFill>
            <a:effectLst/>
            <a:latin typeface="HG丸ｺﾞｼｯｸM-PRO" panose="020F0600000000000000" pitchFamily="50" charset="-128"/>
            <a:ea typeface="HG丸ｺﾞｼｯｸM-PRO" panose="020F0600000000000000" pitchFamily="50" charset="-128"/>
            <a:cs typeface="+mn-cs"/>
          </a:endParaRPr>
        </a:p>
        <a:p>
          <a:r>
            <a:rPr lang="ja-JP" altLang="en-US" sz="1400" b="0" i="0">
              <a:solidFill>
                <a:schemeClr val="lt1"/>
              </a:solidFill>
              <a:effectLst/>
              <a:latin typeface="HG丸ｺﾞｼｯｸM-PRO" panose="020F0600000000000000" pitchFamily="50" charset="-128"/>
              <a:ea typeface="HG丸ｺﾞｼｯｸM-PRO" panose="020F0600000000000000" pitchFamily="50" charset="-128"/>
              <a:cs typeface="+mn-cs"/>
            </a:rPr>
            <a:t>領収書にご兄弟分がまとめて記載されている場合、合計額を単純に人数で割ることはせず、お手数ですが、利用されたベビーシッター事業者に「子ども一人ずつの利用料」をご確認の上、その金額をご記入いただきますようお願いいたします。</a:t>
          </a:r>
          <a:endParaRPr lang="en-US" altLang="ja-JP" sz="1400" b="0" i="0">
            <a:solidFill>
              <a:schemeClr val="lt1"/>
            </a:solidFill>
            <a:effectLst/>
            <a:latin typeface="HG丸ｺﾞｼｯｸM-PRO" panose="020F0600000000000000" pitchFamily="50" charset="-128"/>
            <a:ea typeface="HG丸ｺﾞｼｯｸM-PRO" panose="020F0600000000000000" pitchFamily="50" charset="-128"/>
            <a:cs typeface="+mn-cs"/>
          </a:endParaRPr>
        </a:p>
        <a:p>
          <a:endParaRPr lang="ja-JP" altLang="en-US" sz="1400" b="0" i="0">
            <a:solidFill>
              <a:schemeClr val="lt1"/>
            </a:solidFill>
            <a:effectLst/>
            <a:latin typeface="HG丸ｺﾞｼｯｸM-PRO" panose="020F0600000000000000" pitchFamily="50" charset="-128"/>
            <a:ea typeface="HG丸ｺﾞｼｯｸM-PRO" panose="020F0600000000000000" pitchFamily="50" charset="-128"/>
            <a:cs typeface="+mn-cs"/>
          </a:endParaRPr>
        </a:p>
        <a:p>
          <a:r>
            <a:rPr lang="ja-JP" altLang="en-US" sz="1400" b="0" i="0">
              <a:solidFill>
                <a:schemeClr val="lt1"/>
              </a:solidFill>
              <a:effectLst/>
              <a:latin typeface="HG丸ｺﾞｼｯｸM-PRO" panose="020F0600000000000000" pitchFamily="50" charset="-128"/>
              <a:ea typeface="HG丸ｺﾞｼｯｸM-PRO" panose="020F0600000000000000" pitchFamily="50" charset="-128"/>
              <a:cs typeface="+mn-cs"/>
            </a:rPr>
            <a:t>事業者ごとに共同保育などの料金設定が異なるため、正確な補助金額を算出するために必要となります。ご協力をお願いいたします</a:t>
          </a:r>
          <a:r>
            <a:rPr lang="en-US" altLang="ja-JP" sz="1400" b="0" i="0">
              <a:solidFill>
                <a:schemeClr val="lt1"/>
              </a:solidFill>
              <a:effectLst/>
              <a:latin typeface="HG丸ｺﾞｼｯｸM-PRO" panose="020F0600000000000000" pitchFamily="50" charset="-128"/>
              <a:ea typeface="HG丸ｺﾞｼｯｸM-PRO" panose="020F0600000000000000" pitchFamily="50" charset="-128"/>
              <a:cs typeface="+mn-cs"/>
            </a:rPr>
            <a:t>.</a:t>
          </a:r>
        </a:p>
        <a:p>
          <a:endParaRPr lang="ja-JP" altLang="en-US" sz="1200" b="0" i="0">
            <a:solidFill>
              <a:schemeClr val="lt1"/>
            </a:solidFill>
            <a:effectLst/>
            <a:latin typeface="HG丸ｺﾞｼｯｸM-PRO" panose="020F0600000000000000" pitchFamily="50" charset="-128"/>
            <a:ea typeface="HG丸ｺﾞｼｯｸM-PRO" panose="020F0600000000000000" pitchFamily="50" charset="-128"/>
            <a:cs typeface="+mn-cs"/>
          </a:endParaRPr>
        </a:p>
        <a:p>
          <a:pPr algn="l"/>
          <a:endParaRPr lang="en-US" altLang="ja-JP" sz="1200" b="0" i="0">
            <a:solidFill>
              <a:schemeClr val="lt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AF77FD-F397-485D-9696-14E29D6497B3}" name="tbl利用" displayName="tbl利用" ref="AQ7:BY42" totalsRowShown="0" headerRowDxfId="78" dataDxfId="76" headerRowBorderDxfId="77" tableBorderDxfId="75">
  <autoFilter ref="AQ7:BY42" xr:uid="{04AF77FD-F397-485D-9696-14E29D6497B3}"/>
  <tableColumns count="35">
    <tableColumn id="1" xr3:uid="{72D5EB85-934D-4638-B1F0-58071FC1BAC6}" name="No." dataDxfId="74">
      <calculatedColumnFormula array="1">IF(tbl利用[[#This Row],[利用日]]="","",ROW()-ROW(tbl利用[#Headers]))</calculatedColumnFormula>
    </tableColumn>
    <tableColumn id="2" xr3:uid="{C26313C9-E37C-4AE3-B7FB-13F6741A11DB}" name="利用日" dataDxfId="73">
      <calculatedColumnFormula>IF(B8="","",B8)</calculatedColumnFormula>
    </tableColumn>
    <tableColumn id="3" xr3:uid="{CADF3EBB-28EB-46FC-96B0-08C1EDDCB80D}" name="事業者名" dataDxfId="72"/>
    <tableColumn id="4" xr3:uid="{8D2EFF02-40C9-468E-8847-12126CE96A74}" name="利用区分" dataDxfId="71">
      <calculatedColumnFormula>IF(F8="","",F8)</calculatedColumnFormula>
    </tableColumn>
    <tableColumn id="5" xr3:uid="{3F823766-C4DB-4FB1-B737-8C68D78C9893}" name="利用時間_時" dataDxfId="70">
      <calculatedColumnFormula>IF(F8="利用区分１",AI8,AM8)</calculatedColumnFormula>
    </tableColumn>
    <tableColumn id="6" xr3:uid="{A522E4CF-13EE-4FF5-9BEA-E721456A7198}" name="利用時間_分" dataDxfId="69">
      <calculatedColumnFormula>IF(F8="利用区分１",AK8,AO8)</calculatedColumnFormula>
    </tableColumn>
    <tableColumn id="7" xr3:uid="{900B7BF9-D430-4B70-84C7-BC4F6DCE4A76}" name="利用分数" dataDxfId="68">
      <calculatedColumnFormula>IF(tbl利用[[#This Row],[利用日]]="","",N(tbl利用[[#This Row],[利用時間_時]])*60+N(tbl利用[[#This Row],[利用時間_分]]))</calculatedColumnFormula>
    </tableColumn>
    <tableColumn id="8" xr3:uid="{09966DBF-CC8C-406F-991F-269C90640B29}" name="割引前利用額" dataDxfId="67">
      <calculatedColumnFormula>IF(R8="","",R8)</calculatedColumnFormula>
    </tableColumn>
    <tableColumn id="9" xr3:uid="{48F945A6-E8E7-420A-B948-82615B638FF9}" name="割引額" dataDxfId="66">
      <calculatedColumnFormula>IF(X8="","",X8)</calculatedColumnFormula>
    </tableColumn>
    <tableColumn id="10" xr3:uid="{91B4F440-C22E-4933-9898-58D204B649BB}" name="明細実支出額" dataDxfId="65" dataCellStyle="桁区切り">
      <calculatedColumnFormula>IF(tbl利用[[#This Row],[利用日]]="","",MAX(0,N(tbl利用[[#This Row],[割引前利用額]])-N(tbl利用[[#This Row],[割引額]])))</calculatedColumnFormula>
    </tableColumn>
    <tableColumn id="11" xr3:uid="{72A5CF0E-2549-4E59-99DE-281D975FE96F}" name="通常時間単価" dataDxfId="64" dataCellStyle="桁区切り">
      <calculatedColumnFormula>IF(OR(tbl利用[[#This Row],[利用日]]="",tbl利用[[#This Row],[利用分数]]&lt;=0),"",N(tbl利用[[#This Row],[割引前利用額]])/tbl利用[[#This Row],[利用分数]]*60)</calculatedColumnFormula>
    </tableColumn>
    <tableColumn id="12" xr3:uid="{C5740F9B-7722-481F-B99D-24F4ADCF0284}" name="上限単価" dataDxfId="63" dataCellStyle="桁区切り">
      <calculatedColumnFormula>IF(tbl利用[[#This Row],[利用区分]]="","",_xlfn.XLOOKUP(tbl利用[[#This Row],[利用区分]],$AQ$4:$AQ$5,$AR$4:$AR$5,"区分未登録"))</calculatedColumnFormula>
    </tableColumn>
    <tableColumn id="13" xr3:uid="{A1E23838-8EB3-4246-ADDF-5183060AC4AB}" name="基準単価" dataDxfId="62" dataCellStyle="桁区切り">
      <calculatedColumnFormula>IF(OR(tbl利用[[#This Row],[通常時間単価]]="",NOT(ISNUMBER(tbl利用[[#This Row],[上限単価]]))),"",MIN(tbl利用[[#This Row],[通常時間単価]],tbl利用[[#This Row],[上限単価]]))</calculatedColumnFormula>
    </tableColumn>
    <tableColumn id="14" xr3:uid="{098641B1-B81C-41FB-8A8A-8D178DA3EBBC}" name="処理前明細基準額" dataDxfId="61" dataCellStyle="桁区切り">
      <calculatedColumnFormula>IF(tbl利用[[#This Row],[利用日]]="","",tbl利用[[#This Row],[利用分数]]/60*tbl利用[[#This Row],[基準単価]])</calculatedColumnFormula>
    </tableColumn>
    <tableColumn id="15" xr3:uid="{8EE3AA87-8F8D-411A-AB3E-550B9DFBE79F}" name="日別区分キー" dataDxfId="60" dataCellStyle="桁区切り">
      <calculatedColumnFormula>IF(OR(tbl利用[[#This Row],[利用日]]="",tbl利用[[#This Row],[利用区分]]=""),"",TEXT(tbl利用[[#This Row],[利用日]],"yyyymmdd")&amp;"|"&amp;tbl利用[[#This Row],[利用区分]])</calculatedColumnFormula>
    </tableColumn>
    <tableColumn id="16" xr3:uid="{207FBC8C-CEB8-4CEF-A493-C502764CA8AA}" name="日別区分実支出額" dataDxfId="59" dataCellStyle="桁区切り">
      <calculatedColumnFormula>IF(tbl利用[[#This Row],[日別区分キー]]="","",SUMIFS(tbl利用[明細実支出額],tbl利用[日別区分キー],tbl利用[[#This Row],[日別区分キー]]))</calculatedColumnFormula>
    </tableColumn>
    <tableColumn id="17" xr3:uid="{383689F4-A421-4E6A-A677-3D886D6C6243}" name="日別区分処理前基準額" dataDxfId="58" dataCellStyle="桁区切り">
      <calculatedColumnFormula>IF(tbl利用[[#This Row],[日別区分キー]]="","",SUMIFS(tbl利用[処理前明細基準額],tbl利用[日別区分キー],tbl利用[[#This Row],[日別区分キー]]))</calculatedColumnFormula>
    </tableColumn>
    <tableColumn id="18" xr3:uid="{D318A2DF-1089-447B-B194-423CED671258}" name="日別区分処理前補助額" dataDxfId="57" dataCellStyle="桁区切り">
      <calculatedColumnFormula>IF(tbl利用[[#This Row],[日別区分キー]]="","",ROUNDDOWN(MIN(tbl利用[[#This Row],[日別区分実支出額]],tbl利用[[#This Row],[日別区分処理前基準額]]),0))</calculatedColumnFormula>
    </tableColumn>
    <tableColumn id="19" xr3:uid="{73181752-04E4-4C96-A6DE-EE0EC59CA0E5}" name="日別区分余裕額" dataDxfId="56" dataCellStyle="桁区切り">
      <calculatedColumnFormula>IF(tbl利用[[#This Row],[日別区分キー]]="","",MAX(0,tbl利用[[#This Row],[日別区分処理前基準額]]-tbl利用[[#This Row],[日別区分実支出額]]))</calculatedColumnFormula>
    </tableColumn>
    <tableColumn id="20" xr3:uid="{0A468D6F-9FEA-4063-BDC5-413BB2E7DBC3}" name="無損失切捨可能分数_参考" dataDxfId="55" dataCellStyle="桁区切り">
      <calculatedColumnFormula>IF(OR(tbl利用[[#This Row],[利用日]]="",tbl利用[[#This Row],[基準単価]]&lt;=0),0,MIN(tbl利用[[#This Row],[利用分数]],ROUNDDOWN(tbl利用[[#This Row],[日別区分余裕額]]/(tbl利用[[#This Row],[基準単価]]/60),0)))</calculatedColumnFormula>
    </tableColumn>
    <tableColumn id="21" xr3:uid="{8A0C915C-F3A6-4CFE-850E-F48069628A97}" name="切捨分数" dataDxfId="54" dataCellStyle="桁区切り"/>
    <tableColumn id="22" xr3:uid="{9DDCACF5-9DFA-4230-932B-2FF7421C4AD6}" name="処理後利用分数" dataDxfId="53" dataCellStyle="桁区切り">
      <calculatedColumnFormula>IF(tbl利用[[#This Row],[利用日]]="","",MAX(0,tbl利用[[#This Row],[利用分数]]-N(tbl利用[[#This Row],[切捨分数]])))</calculatedColumnFormula>
    </tableColumn>
    <tableColumn id="23" xr3:uid="{AB41681A-EDB4-4214-BB88-206D269DDEC9}" name="処理後明細基準額" dataDxfId="52" dataCellStyle="桁区切り">
      <calculatedColumnFormula>IF(tbl利用[[#This Row],[利用日]]="","",tbl利用[[#This Row],[処理後利用分数]]/60*tbl利用[[#This Row],[基準単価]])</calculatedColumnFormula>
    </tableColumn>
    <tableColumn id="24" xr3:uid="{AD966C2E-370D-4E4B-B034-2F5D1E04E094}" name="日別区分処理後基準額" dataDxfId="51" dataCellStyle="桁区切り">
      <calculatedColumnFormula>IF(tbl利用[[#This Row],[日別区分キー]]="","",SUMIFS(tbl利用[処理後明細基準額],tbl利用[日別区分キー],tbl利用[[#This Row],[日別区分キー]]))</calculatedColumnFormula>
    </tableColumn>
    <tableColumn id="25" xr3:uid="{59526D74-7D8A-487D-BCF2-3FC0BBDA1766}" name="日別区分補助額" dataDxfId="50" dataCellStyle="桁区切り">
      <calculatedColumnFormula>IF(tbl利用[[#This Row],[日別区分キー]]="","",ROUNDDOWN(MIN(tbl利用[[#This Row],[日別区分実支出額]],tbl利用[[#This Row],[日別区分処理後基準額]]),0))</calculatedColumnFormula>
    </tableColumn>
    <tableColumn id="35" xr3:uid="{45CBB021-2CFD-4218-8944-C9E5CB2F8449}" name="日別区分補助減少額" dataDxfId="49" dataCellStyle="桁区切り">
      <calculatedColumnFormula>IF(tbl利用[[#This Row],[日別区分キー]]="","",tbl利用[[#This Row],[日別区分処理前補助額]]-tbl利用[[#This Row],[日別区分補助額]])</calculatedColumnFormula>
    </tableColumn>
    <tableColumn id="34" xr3:uid="{EA668D37-BF1E-4D04-9250-D371953CCA98}" name="次の1分切捨時補助額" dataDxfId="48" dataCellStyle="桁区切り">
      <calculatedColumnFormula>IF(OR(tbl利用[[#This Row],[日別区分キー]]="",tbl利用[[#This Row],[処理後利用分数]]&lt;=0),"",ROUNDDOWN(MIN(tbl利用[[#This Row],[日別区分実支出額]],tbl利用[[#This Row],[日別区分処理後基準額]]-tbl利用[[#This Row],[基準単価]]/60),0))</calculatedColumnFormula>
    </tableColumn>
    <tableColumn id="33" xr3:uid="{A1362383-010B-4F1D-A671-D8FB6C270C53}" name="次の1分切捨時減少額" dataDxfId="47" dataCellStyle="桁区切り">
      <calculatedColumnFormula>IF(tbl利用[[#This Row],[次の1分切捨時補助額]]="","",tbl利用[[#This Row],[日別区分補助額]]-tbl利用[[#This Row],[次の1分切捨時補助額]])</calculatedColumnFormula>
    </tableColumn>
    <tableColumn id="26" xr3:uid="{7B1466B9-AC40-4971-9872-66BF489B9F00}" name="日別区分代表行" dataDxfId="46" dataCellStyle="桁区切り">
      <calculatedColumnFormula>IF(tbl利用[[#This Row],[日別区分キー]]="","",--(COUNTIF(INDEX(tbl利用[日別区分キー],1):tbl利用[[#This Row],[日別区分キー]],tbl利用[[#This Row],[日別区分キー]])=1))</calculatedColumnFormula>
    </tableColumn>
    <tableColumn id="27" xr3:uid="{2E2F421E-5497-4196-B18F-802145580684}" name="区分総利用分数" dataDxfId="45" dataCellStyle="桁区切り">
      <calculatedColumnFormula>IF(tbl利用[[#This Row],[利用区分]]="","",SUMIFS(tbl利用[利用分数],tbl利用[利用区分],tbl利用[[#This Row],[利用区分]]))</calculatedColumnFormula>
    </tableColumn>
    <tableColumn id="28" xr3:uid="{5421DBC1-207C-4448-BDF8-0474E8E4273C}" name="区分必要切捨分数" dataDxfId="44" dataCellStyle="桁区切り">
      <calculatedColumnFormula>IF(tbl利用[[#This Row],[利用区分]]="","",MOD(tbl利用[[#This Row],[区分総利用分数]],60))</calculatedColumnFormula>
    </tableColumn>
    <tableColumn id="29" xr3:uid="{A29EE8A4-010C-4351-9CB2-1AD5FC7D1C98}" name="区分入力切捨合計" dataDxfId="43" dataCellStyle="桁区切り">
      <calculatedColumnFormula>IF(tbl利用[[#This Row],[利用区分]]="","",SUMIFS(tbl利用[切捨分数],tbl利用[利用区分],tbl利用[[#This Row],[利用区分]]))</calculatedColumnFormula>
    </tableColumn>
    <tableColumn id="30" xr3:uid="{79EFBB0E-7793-41BF-B370-353D74C87BAC}" name="区分端数処理判定" dataDxfId="42" dataCellStyle="桁区切り">
      <calculatedColumnFormula>IF(tbl利用[[#This Row],[利用区分]]="","",IF(tbl利用[[#This Row],[区分必要切捨分数]]=tbl利用[[#This Row],[区分入力切捨合計]],"OK","要確認"))</calculatedColumnFormula>
    </tableColumn>
    <tableColumn id="31" xr3:uid="{B19DDC8C-9EC5-4770-B77D-0A91B1928674}" name="入力確認" dataDxfId="41" dataCellStyle="桁区切り">
      <calculatedColumnFormula>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calculatedColumnFormula>
    </tableColumn>
    <tableColumn id="32" xr3:uid="{782C782A-A14C-4B06-B21A-9AFF0CD521A1}" name="備考" dataDxfId="40" dataCellStyle="桁区切り"/>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B3D4DEB-3034-4051-9DCE-803D431B12A5}" name="tbl利用3" displayName="tbl利用3" ref="AQ7:BZ42" totalsRowShown="0" headerRowDxfId="39" dataDxfId="37" headerRowBorderDxfId="38" tableBorderDxfId="36">
  <autoFilter ref="AQ7:BZ42" xr:uid="{04AF77FD-F397-485D-9696-14E29D6497B3}"/>
  <tableColumns count="36">
    <tableColumn id="1" xr3:uid="{DF8C68CE-B8DB-49F9-82CD-6BB0238EA53E}" name="No." dataDxfId="35">
      <calculatedColumnFormula array="1">IF(tbl利用3[[#This Row],[利用日]]="","",ROW()-ROW(tbl利用3[#Headers]))</calculatedColumnFormula>
    </tableColumn>
    <tableColumn id="2" xr3:uid="{891D00C6-FBB7-4DE2-84EA-72DC2E6B5930}" name="利用日" dataDxfId="34">
      <calculatedColumnFormula>IF(B8="","",B8)</calculatedColumnFormula>
    </tableColumn>
    <tableColumn id="3" xr3:uid="{7A2015EE-3E77-4CD9-9A86-17A25ECDCC0F}" name="事業者名" dataDxfId="33"/>
    <tableColumn id="4" xr3:uid="{9F488D59-8D04-4EC8-B66A-4402BC6C0EE5}" name="利用区分" dataDxfId="32">
      <calculatedColumnFormula>IF(F8="","",F8)</calculatedColumnFormula>
    </tableColumn>
    <tableColumn id="5" xr3:uid="{0BEFD0E0-6138-41B9-8492-2041FC9DEF4D}" name="利用時間_時" dataDxfId="31">
      <calculatedColumnFormula>IF(F8="利用区分１",AI8,AM8)</calculatedColumnFormula>
    </tableColumn>
    <tableColumn id="6" xr3:uid="{8E259A47-9DC8-4611-8B97-CF26AE668654}" name="利用時間_分" dataDxfId="30">
      <calculatedColumnFormula>IF(F8="利用区分１",AK8,AO8)</calculatedColumnFormula>
    </tableColumn>
    <tableColumn id="7" xr3:uid="{46ED5043-B53F-4D26-A989-E9E45F30A3FB}" name="利用分数" dataDxfId="29">
      <calculatedColumnFormula>IF(tbl利用3[[#This Row],[利用日]]="","",N(tbl利用3[[#This Row],[利用時間_時]])*60+N(tbl利用3[[#This Row],[利用時間_分]]))</calculatedColumnFormula>
    </tableColumn>
    <tableColumn id="8" xr3:uid="{EE69D4BA-C7E0-43A8-9B72-D17118B9226D}" name="割引前利用額" dataDxfId="28">
      <calculatedColumnFormula>IF(R8="","",R8)</calculatedColumnFormula>
    </tableColumn>
    <tableColumn id="9" xr3:uid="{FC7A55FA-A338-4BC7-8ED1-C0A766622985}" name="割引額" dataDxfId="27">
      <calculatedColumnFormula>IF(X8="","",X8)</calculatedColumnFormula>
    </tableColumn>
    <tableColumn id="10" xr3:uid="{00583564-D098-402B-A3B9-7AC2753710D7}" name="明細実支出額" dataDxfId="26" dataCellStyle="桁区切り">
      <calculatedColumnFormula>IF(tbl利用3[[#This Row],[利用日]]="","",MAX(0,N(tbl利用3[[#This Row],[割引前利用額]])-N(tbl利用3[[#This Row],[割引額]])))</calculatedColumnFormula>
    </tableColumn>
    <tableColumn id="11" xr3:uid="{EC79734A-16C2-4F9D-9D71-4B3BD7370677}" name="通常時間単価" dataDxfId="25" dataCellStyle="桁区切り">
      <calculatedColumnFormula>IF(OR(tbl利用3[[#This Row],[利用日]]="",tbl利用3[[#This Row],[利用分数]]&lt;=0),"",N(tbl利用3[[#This Row],[割引前利用額]])/tbl利用3[[#This Row],[利用分数]]*60)</calculatedColumnFormula>
    </tableColumn>
    <tableColumn id="12" xr3:uid="{0AC2BA05-AE9D-4608-AD60-F2D1ECAB3129}" name="上限単価" dataDxfId="24" dataCellStyle="桁区切り">
      <calculatedColumnFormula>IF(tbl利用3[[#This Row],[利用区分]]="","",_xlfn.XLOOKUP(tbl利用3[[#This Row],[利用区分]],$AQ$4:$AQ$5,$AR$4:$AR$5,"区分未登録"))</calculatedColumnFormula>
    </tableColumn>
    <tableColumn id="13" xr3:uid="{30DAAA2F-F329-44B8-AA66-EA4092D65AFF}" name="基準単価" dataDxfId="23" dataCellStyle="桁区切り">
      <calculatedColumnFormula>IF(OR(tbl利用3[[#This Row],[通常時間単価]]="",NOT(ISNUMBER(tbl利用3[[#This Row],[上限単価]]))),"",MIN(tbl利用3[[#This Row],[通常時間単価]],tbl利用3[[#This Row],[上限単価]]))</calculatedColumnFormula>
    </tableColumn>
    <tableColumn id="14" xr3:uid="{4D85A386-2C79-4987-AE76-19299251BD8E}" name="処理前明細基準額" dataDxfId="22" dataCellStyle="桁区切り">
      <calculatedColumnFormula>IF(tbl利用3[[#This Row],[利用日]]="","",tbl利用3[[#This Row],[利用分数]]/60*tbl利用3[[#This Row],[基準単価]])</calculatedColumnFormula>
    </tableColumn>
    <tableColumn id="15" xr3:uid="{101E6EA5-4627-4EA9-9D49-C03DCB562D10}" name="日別区分キー" dataDxfId="21" dataCellStyle="桁区切り">
      <calculatedColumnFormula>IF(OR(tbl利用3[[#This Row],[利用日]]="",tbl利用3[[#This Row],[利用区分]]=""),"",TEXT(tbl利用3[[#This Row],[利用日]],"yyyymmdd")&amp;"|"&amp;tbl利用3[[#This Row],[利用区分]])</calculatedColumnFormula>
    </tableColumn>
    <tableColumn id="16" xr3:uid="{DFD90754-5FA3-4EB6-A7AF-4B9F18DB8EB0}" name="日別区分実支出額" dataDxfId="20" dataCellStyle="桁区切り">
      <calculatedColumnFormula>IF(tbl利用3[[#This Row],[日別区分キー]]="","",SUMIFS(tbl利用3[明細実支出額],tbl利用3[日別区分キー],tbl利用3[[#This Row],[日別区分キー]]))</calculatedColumnFormula>
    </tableColumn>
    <tableColumn id="17" xr3:uid="{696774E5-4807-45EB-8CB4-F949B922D4C2}" name="日別区分処理前基準額" dataDxfId="19" dataCellStyle="桁区切り">
      <calculatedColumnFormula>IF(tbl利用3[[#This Row],[日別区分キー]]="","",SUMIFS(tbl利用3[処理前明細基準額],tbl利用3[日別区分キー],tbl利用3[[#This Row],[日別区分キー]]))</calculatedColumnFormula>
    </tableColumn>
    <tableColumn id="18" xr3:uid="{565E16A5-F3D9-4D92-960A-A97061E185BB}" name="日別区分処理前補助額" dataDxfId="18" dataCellStyle="桁区切り">
      <calculatedColumnFormula>IF(tbl利用3[[#This Row],[日別区分キー]]="","",ROUNDDOWN(MIN(tbl利用3[[#This Row],[日別区分実支出額]],tbl利用3[[#This Row],[日別区分処理前基準額]]),0))</calculatedColumnFormula>
    </tableColumn>
    <tableColumn id="19" xr3:uid="{DB6930BA-18A7-4B7E-94F8-2BB707B4EE5C}" name="日別区分余裕額" dataDxfId="17" dataCellStyle="桁区切り">
      <calculatedColumnFormula>IF(tbl利用3[[#This Row],[日別区分キー]]="","",MAX(0,tbl利用3[[#This Row],[日別区分処理前基準額]]-tbl利用3[[#This Row],[日別区分実支出額]]))</calculatedColumnFormula>
    </tableColumn>
    <tableColumn id="20" xr3:uid="{26EC4348-F7F2-4A92-A10C-A4FD4CD066A0}" name="無損失切捨可能分数_参考" dataDxfId="16" dataCellStyle="桁区切り">
      <calculatedColumnFormula>IF(OR(tbl利用3[[#This Row],[利用日]]="",tbl利用3[[#This Row],[基準単価]]&lt;=0),0,MIN(tbl利用3[[#This Row],[利用分数]],ROUNDDOWN(tbl利用3[[#This Row],[日別区分余裕額]]/(tbl利用3[[#This Row],[基準単価]]/60),0)))</calculatedColumnFormula>
    </tableColumn>
    <tableColumn id="21" xr3:uid="{71D3E6F1-800F-441F-AD4C-13EAAC4412B2}" name="切捨分数" dataDxfId="15" dataCellStyle="桁区切り"/>
    <tableColumn id="36" xr3:uid="{57D75B11-9BCB-4A1E-A1DC-2FF8F2AD632D}" name="区分" dataDxfId="14" dataCellStyle="桁区切り">
      <calculatedColumnFormula>IF(F8="","",F8)</calculatedColumnFormula>
    </tableColumn>
    <tableColumn id="22" xr3:uid="{BFE67A43-CA8D-477D-8CC4-AE14751F041E}" name="処理後利用分数" dataDxfId="13" dataCellStyle="桁区切り">
      <calculatedColumnFormula>IF(tbl利用3[[#This Row],[利用日]]="","",MAX(0,tbl利用3[[#This Row],[利用分数]]-N(tbl利用3[[#This Row],[切捨分数]])))</calculatedColumnFormula>
    </tableColumn>
    <tableColumn id="23" xr3:uid="{2ACB65EB-3D82-421C-9694-729EAFC08AF9}" name="処理後明細基準額" dataDxfId="12" dataCellStyle="桁区切り">
      <calculatedColumnFormula>IF(tbl利用3[[#This Row],[利用日]]="","",tbl利用3[[#This Row],[処理後利用分数]]/60*tbl利用3[[#This Row],[基準単価]])</calculatedColumnFormula>
    </tableColumn>
    <tableColumn id="24" xr3:uid="{FD9B9319-C524-4502-BC4C-87D0B381DCA2}" name="日別区分処理後基準額" dataDxfId="11" dataCellStyle="桁区切り">
      <calculatedColumnFormula>IF(tbl利用3[[#This Row],[日別区分キー]]="","",SUMIFS(tbl利用3[処理後明細基準額],tbl利用3[日別区分キー],tbl利用3[[#This Row],[日別区分キー]]))</calculatedColumnFormula>
    </tableColumn>
    <tableColumn id="25" xr3:uid="{2EA0B06F-1FC5-4313-8431-5976675040C3}" name="日別区分補助額" dataDxfId="10" dataCellStyle="桁区切り">
      <calculatedColumnFormula>IF(tbl利用3[[#This Row],[日別区分キー]]="","",ROUNDDOWN(MIN(tbl利用3[[#This Row],[日別区分実支出額]],tbl利用3[[#This Row],[日別区分処理後基準額]]),0))</calculatedColumnFormula>
    </tableColumn>
    <tableColumn id="35" xr3:uid="{BFCDFC8E-E285-4639-9C55-DF44B1C9DB13}" name="日別区分補助減少額" dataDxfId="9" dataCellStyle="桁区切り">
      <calculatedColumnFormula>IF(tbl利用3[[#This Row],[日別区分キー]]="","",tbl利用3[[#This Row],[日別区分処理前補助額]]-tbl利用3[[#This Row],[日別区分補助額]])</calculatedColumnFormula>
    </tableColumn>
    <tableColumn id="34" xr3:uid="{FBF2F2B5-A540-421B-A2EB-719F65A9EBD3}" name="次の1分切捨時補助額" dataDxfId="8" dataCellStyle="桁区切り">
      <calculatedColumnFormula>IF(OR(tbl利用3[[#This Row],[日別区分キー]]="",tbl利用3[[#This Row],[処理後利用分数]]&lt;=0),"",ROUNDDOWN(MIN(tbl利用3[[#This Row],[日別区分実支出額]],tbl利用3[[#This Row],[日別区分処理後基準額]]-tbl利用3[[#This Row],[基準単価]]/60),0))</calculatedColumnFormula>
    </tableColumn>
    <tableColumn id="33" xr3:uid="{A8123617-E71C-40E2-8A18-41E4EB936801}" name="次の1分切捨時減少額" dataDxfId="7" dataCellStyle="桁区切り">
      <calculatedColumnFormula>IF(tbl利用3[[#This Row],[次の1分切捨時補助額]]="","",tbl利用3[[#This Row],[日別区分補助額]]-tbl利用3[[#This Row],[次の1分切捨時補助額]])</calculatedColumnFormula>
    </tableColumn>
    <tableColumn id="26" xr3:uid="{E09F610C-6224-4DEE-84DC-547FB79001A8}" name="日別区分代表行" dataDxfId="6" dataCellStyle="桁区切り">
      <calculatedColumnFormula>IF(tbl利用3[[#This Row],[日別区分キー]]="","",--(COUNTIF(INDEX(tbl利用3[日別区分キー],1):tbl利用3[[#This Row],[日別区分キー]],tbl利用3[[#This Row],[日別区分キー]])=1))</calculatedColumnFormula>
    </tableColumn>
    <tableColumn id="27" xr3:uid="{0F045EA0-0DB9-4CF2-933B-115D877DF7D0}" name="区分総利用分数" dataDxfId="5" dataCellStyle="桁区切り">
      <calculatedColumnFormula>IF(tbl利用3[[#This Row],[利用区分]]="","",SUMIFS(tbl利用3[利用分数],tbl利用3[利用区分],tbl利用3[[#This Row],[利用区分]]))</calculatedColumnFormula>
    </tableColumn>
    <tableColumn id="28" xr3:uid="{C0CB3F87-AFB9-45B3-B803-5A8CC2F70B43}" name="区分必要切捨分数" dataDxfId="4" dataCellStyle="桁区切り">
      <calculatedColumnFormula>IF(tbl利用3[[#This Row],[利用区分]]="","",MOD(tbl利用3[[#This Row],[区分総利用分数]],60))</calculatedColumnFormula>
    </tableColumn>
    <tableColumn id="29" xr3:uid="{131BEC24-2FE8-438A-B742-EF8854997866}" name="区分入力切捨合計" dataDxfId="3" dataCellStyle="桁区切り">
      <calculatedColumnFormula>IF(tbl利用3[[#This Row],[利用区分]]="","",SUMIFS(tbl利用3[切捨分数],tbl利用3[利用区分],tbl利用3[[#This Row],[利用区分]]))</calculatedColumnFormula>
    </tableColumn>
    <tableColumn id="30" xr3:uid="{770AC452-F33E-4091-A210-114BEBC256FC}" name="区分端数処理判定" dataDxfId="2" dataCellStyle="桁区切り">
      <calculatedColumnFormula>IF(tbl利用3[[#This Row],[利用区分]]="","",IF(tbl利用3[[#This Row],[区分必要切捨分数]]=tbl利用3[[#This Row],[区分入力切捨合計]],"OK","要確認"))</calculatedColumnFormula>
    </tableColumn>
    <tableColumn id="31" xr3:uid="{46B2058D-9944-4340-9B85-62E3A5C8995B}" name="入力確認" dataDxfId="1" dataCellStyle="桁区切り">
      <calculatedColumnFormula>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calculatedColumnFormula>
    </tableColumn>
    <tableColumn id="32" xr3:uid="{9C9EE4A1-A6B7-4364-B485-6F2BABE7CA49}" name="備考" dataDxfId="0" dataCellStyle="桁区切り"/>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E79D7-DB11-43BF-AF58-DD29BB8639FF}">
  <sheetPr>
    <pageSetUpPr fitToPage="1"/>
  </sheetPr>
  <dimension ref="A1:BY53"/>
  <sheetViews>
    <sheetView tabSelected="1" view="pageBreakPreview" zoomScale="70" zoomScaleNormal="100" zoomScaleSheetLayoutView="70" workbookViewId="0">
      <pane xSplit="26" ySplit="7" topLeftCell="AA8" activePane="bottomRight" state="frozen"/>
      <selection activeCell="Q33" sqref="Q33"/>
      <selection pane="topRight" activeCell="Q33" sqref="Q33"/>
      <selection pane="bottomLeft" activeCell="Q33" sqref="Q33"/>
      <selection pane="bottomRight" activeCell="G3" sqref="G3:Q3"/>
    </sheetView>
  </sheetViews>
  <sheetFormatPr defaultColWidth="9" defaultRowHeight="13.5" x14ac:dyDescent="0.4"/>
  <cols>
    <col min="1" max="1" width="5.5" style="39" bestFit="1" customWidth="1"/>
    <col min="2" max="5" width="4.375" style="39" customWidth="1"/>
    <col min="6" max="6" width="7.625" style="39" customWidth="1"/>
    <col min="7" max="7" width="5.25" style="39" customWidth="1"/>
    <col min="8" max="8" width="4.375" style="39" customWidth="1"/>
    <col min="9" max="9" width="5.25" style="40" customWidth="1"/>
    <col min="10" max="10" width="4.375" style="39" customWidth="1"/>
    <col min="11" max="11" width="5.25" style="39" customWidth="1"/>
    <col min="12" max="12" width="4.375" style="39" customWidth="1"/>
    <col min="13" max="13" width="5.25" style="39" customWidth="1"/>
    <col min="14" max="17" width="6.875" style="39" customWidth="1"/>
    <col min="18" max="19" width="7.625" style="39" customWidth="1"/>
    <col min="20" max="20" width="4.375" style="39" customWidth="1"/>
    <col min="21" max="22" width="6" style="39" customWidth="1"/>
    <col min="23" max="23" width="4.375" style="39" customWidth="1"/>
    <col min="24" max="25" width="6" style="39" customWidth="1"/>
    <col min="26" max="26" width="4.375" style="39" customWidth="1"/>
    <col min="27" max="27" width="9" style="39"/>
    <col min="28" max="34" width="9" style="39" customWidth="1"/>
    <col min="35" max="35" width="10.875" style="39" customWidth="1"/>
    <col min="36" max="36" width="9" style="39" customWidth="1"/>
    <col min="37" max="37" width="11.125" style="39" customWidth="1"/>
    <col min="38" max="42" width="9" style="39" customWidth="1"/>
    <col min="43" max="69" width="10.625" style="31" hidden="1" customWidth="1"/>
    <col min="70" max="70" width="15.625" style="31" hidden="1" customWidth="1"/>
    <col min="71" max="75" width="10.625" style="31" hidden="1" customWidth="1"/>
    <col min="76" max="76" width="23.75" style="67" hidden="1" customWidth="1"/>
    <col min="77" max="77" width="10" style="31" hidden="1" customWidth="1"/>
    <col min="78" max="16384" width="9" style="39"/>
  </cols>
  <sheetData>
    <row r="1" spans="1:77" s="25" customFormat="1" ht="20.100000000000001" customHeight="1" x14ac:dyDescent="0.4">
      <c r="A1" s="35" t="s">
        <v>26</v>
      </c>
      <c r="B1" s="36"/>
      <c r="C1" s="36"/>
      <c r="D1" s="36"/>
      <c r="E1" s="36"/>
      <c r="F1" s="36"/>
      <c r="G1" s="36"/>
      <c r="H1" s="36"/>
      <c r="I1" s="36"/>
      <c r="J1" s="37"/>
      <c r="K1" s="37"/>
      <c r="L1" s="37"/>
      <c r="M1" s="37"/>
      <c r="N1" s="37"/>
      <c r="O1" s="37"/>
      <c r="P1" s="37"/>
      <c r="S1" s="15"/>
      <c r="U1" s="1"/>
      <c r="V1" s="1"/>
      <c r="W1" s="1"/>
      <c r="X1" s="1"/>
      <c r="Y1" s="1"/>
      <c r="Z1" s="1"/>
      <c r="AA1" s="1"/>
      <c r="AB1" s="1"/>
      <c r="AC1" s="1"/>
      <c r="AD1" s="1"/>
      <c r="AE1" s="1"/>
      <c r="AF1" s="1"/>
      <c r="AG1" s="1"/>
      <c r="AH1" s="1"/>
      <c r="AI1" s="1"/>
      <c r="AJ1" s="1"/>
      <c r="AK1" s="1"/>
      <c r="AL1" s="1"/>
      <c r="AM1" s="1"/>
      <c r="AN1" s="1"/>
      <c r="AO1" s="1"/>
      <c r="AQ1" s="15"/>
      <c r="AR1" s="15"/>
      <c r="AS1" s="15"/>
      <c r="AT1" s="15"/>
      <c r="AU1" s="15"/>
      <c r="AV1" s="15"/>
      <c r="AW1" s="15"/>
      <c r="AX1" s="15"/>
      <c r="AY1" s="15"/>
      <c r="AZ1" s="15"/>
      <c r="BA1" s="15"/>
      <c r="BB1" s="15"/>
      <c r="BC1" s="15"/>
      <c r="BD1" s="15"/>
      <c r="BE1" s="15"/>
      <c r="BF1" s="15"/>
      <c r="BG1" s="15"/>
      <c r="BH1" s="53" t="s">
        <v>72</v>
      </c>
      <c r="BI1" s="54">
        <f>SUMIFS(tbl利用[利用分数],tbl利用[利用区分],$AQ$4)</f>
        <v>0</v>
      </c>
      <c r="BJ1" s="53" t="s">
        <v>77</v>
      </c>
      <c r="BK1" s="55">
        <f>SUMIFS(tbl利用[利用分数],tbl利用[利用区分],$AQ$5)</f>
        <v>0</v>
      </c>
      <c r="BL1" s="56" t="s">
        <v>83</v>
      </c>
      <c r="BM1" s="56">
        <f>SUMIFS(tbl利用[日別区分補助額],tbl利用[利用区分],$AQ$4,tbl利用[日別区分代表行],1)</f>
        <v>0</v>
      </c>
      <c r="BN1" s="15"/>
      <c r="BO1" s="15"/>
      <c r="BP1" s="15"/>
      <c r="BQ1" s="15"/>
      <c r="BR1" s="15"/>
      <c r="BS1" s="15"/>
      <c r="BT1" s="15"/>
      <c r="BU1" s="15"/>
      <c r="BV1" s="15"/>
      <c r="BW1" s="15"/>
      <c r="BX1" s="65"/>
      <c r="BY1" s="15"/>
    </row>
    <row r="2" spans="1:77" s="25" customFormat="1" ht="20.100000000000001" customHeight="1" x14ac:dyDescent="0.4">
      <c r="A2" s="35"/>
      <c r="B2" s="38"/>
      <c r="C2" s="38"/>
      <c r="D2" s="38"/>
      <c r="G2" s="37"/>
      <c r="H2" s="37"/>
      <c r="I2" s="37"/>
      <c r="J2" s="37"/>
      <c r="K2" s="37"/>
      <c r="L2" s="37"/>
      <c r="M2" s="37"/>
      <c r="N2" s="37"/>
      <c r="O2" s="37"/>
      <c r="P2" s="37"/>
      <c r="S2" s="15"/>
      <c r="U2" s="1"/>
      <c r="V2" s="1"/>
      <c r="W2" s="1"/>
      <c r="X2" s="1"/>
      <c r="Y2" s="1"/>
      <c r="Z2" s="1"/>
      <c r="AA2" s="1"/>
      <c r="AB2" s="1"/>
      <c r="AC2" s="1"/>
      <c r="AD2" s="1"/>
      <c r="AE2" s="1"/>
      <c r="AF2" s="1"/>
      <c r="AG2" s="1"/>
      <c r="AH2" s="1"/>
      <c r="AI2" s="1"/>
      <c r="AJ2" s="1"/>
      <c r="AK2" s="1"/>
      <c r="AL2" s="1"/>
      <c r="AM2" s="1"/>
      <c r="AN2" s="1"/>
      <c r="AO2" s="1"/>
      <c r="AQ2" s="15"/>
      <c r="AR2" s="15"/>
      <c r="AS2" s="15"/>
      <c r="AT2" s="15"/>
      <c r="AU2" s="15"/>
      <c r="AV2" s="15"/>
      <c r="AW2" s="15"/>
      <c r="AX2" s="15"/>
      <c r="AY2" s="15"/>
      <c r="AZ2" s="15"/>
      <c r="BA2" s="15"/>
      <c r="BB2" s="15"/>
      <c r="BC2" s="15"/>
      <c r="BD2" s="15"/>
      <c r="BE2" s="15"/>
      <c r="BF2" s="15"/>
      <c r="BG2" s="15"/>
      <c r="BH2" s="53" t="s">
        <v>73</v>
      </c>
      <c r="BI2" s="54">
        <f>INT(BI1/60)</f>
        <v>0</v>
      </c>
      <c r="BJ2" s="53" t="s">
        <v>78</v>
      </c>
      <c r="BK2" s="55">
        <f>INT(BK1/60)</f>
        <v>0</v>
      </c>
      <c r="BL2" s="56" t="s">
        <v>84</v>
      </c>
      <c r="BM2" s="56">
        <f>SUMIFS(tbl利用[日別区分補助額],tbl利用[利用区分],$AQ$5,tbl利用[日別区分代表行],1)</f>
        <v>0</v>
      </c>
      <c r="BN2" s="15"/>
      <c r="BO2" s="15"/>
      <c r="BP2" s="15"/>
      <c r="BQ2" s="15"/>
      <c r="BR2" s="15"/>
      <c r="BS2" s="15"/>
      <c r="BT2" s="15"/>
      <c r="BU2" s="15"/>
      <c r="BV2" s="15"/>
      <c r="BW2" s="15"/>
      <c r="BX2" s="65"/>
      <c r="BY2" s="15"/>
    </row>
    <row r="3" spans="1:77" s="25" customFormat="1" ht="33" customHeight="1" x14ac:dyDescent="0.4">
      <c r="B3" s="125" t="s">
        <v>24</v>
      </c>
      <c r="C3" s="125"/>
      <c r="D3" s="125"/>
      <c r="E3" s="125"/>
      <c r="F3" s="33"/>
      <c r="G3" s="131"/>
      <c r="H3" s="132"/>
      <c r="I3" s="132"/>
      <c r="J3" s="132"/>
      <c r="K3" s="132"/>
      <c r="L3" s="132"/>
      <c r="M3" s="132"/>
      <c r="N3" s="132"/>
      <c r="O3" s="132"/>
      <c r="P3" s="132"/>
      <c r="Q3" s="133"/>
      <c r="R3" s="125" t="s">
        <v>23</v>
      </c>
      <c r="S3" s="125"/>
      <c r="T3" s="125"/>
      <c r="U3" s="134"/>
      <c r="V3" s="134"/>
      <c r="W3" s="134"/>
      <c r="Y3" s="15"/>
      <c r="Z3" s="1"/>
      <c r="AA3" s="1"/>
      <c r="AB3" s="1"/>
      <c r="AC3" s="1"/>
      <c r="AD3" s="1"/>
      <c r="AE3" s="1"/>
      <c r="AF3" s="1"/>
      <c r="AG3" s="1"/>
      <c r="AH3" s="1"/>
      <c r="AI3" s="1"/>
      <c r="AJ3" s="1"/>
      <c r="AK3" s="1"/>
      <c r="AL3" s="1"/>
      <c r="AM3" s="1"/>
      <c r="AN3" s="1"/>
      <c r="AO3" s="1"/>
      <c r="AQ3" s="15"/>
      <c r="AR3" s="15"/>
      <c r="AS3" s="15"/>
      <c r="AT3" s="15"/>
      <c r="AU3" s="15"/>
      <c r="AV3" s="15"/>
      <c r="AW3" s="15"/>
      <c r="AX3" s="15"/>
      <c r="AY3" s="15"/>
      <c r="AZ3" s="15"/>
      <c r="BA3" s="15"/>
      <c r="BB3" s="15"/>
      <c r="BC3" s="15"/>
      <c r="BD3" s="15"/>
      <c r="BE3" s="15"/>
      <c r="BF3" s="15"/>
      <c r="BG3" s="15"/>
      <c r="BH3" s="62" t="s">
        <v>74</v>
      </c>
      <c r="BI3" s="57">
        <f>MOD(BI1,60)</f>
        <v>0</v>
      </c>
      <c r="BJ3" s="62" t="s">
        <v>79</v>
      </c>
      <c r="BK3" s="58">
        <f>MOD(BK1,60)</f>
        <v>0</v>
      </c>
      <c r="BL3" s="59" t="s">
        <v>82</v>
      </c>
      <c r="BM3" s="59">
        <f>SUMPRODUCT(tbl利用[日別区分代表行],tbl利用[日別区分補助額])</f>
        <v>0</v>
      </c>
      <c r="BN3" s="15"/>
      <c r="BO3" s="15"/>
      <c r="BP3" s="15"/>
      <c r="BQ3" s="15"/>
      <c r="BR3" s="15"/>
      <c r="BS3" s="15"/>
      <c r="BT3" s="15"/>
      <c r="BU3" s="15"/>
      <c r="BV3" s="15"/>
      <c r="BW3" s="15"/>
      <c r="BX3" s="65"/>
      <c r="BY3" s="15"/>
    </row>
    <row r="4" spans="1:77" s="25" customFormat="1" ht="20.100000000000001" customHeight="1" x14ac:dyDescent="0.4">
      <c r="B4" s="77" t="s">
        <v>71</v>
      </c>
      <c r="C4" s="77"/>
      <c r="D4" s="77"/>
      <c r="E4" s="77"/>
      <c r="F4" s="77"/>
      <c r="G4" s="77"/>
      <c r="H4" s="77"/>
      <c r="I4" s="77"/>
      <c r="J4" s="77"/>
      <c r="K4" s="77"/>
      <c r="L4" s="77"/>
      <c r="M4" s="77"/>
      <c r="N4" s="77"/>
      <c r="O4" s="77"/>
      <c r="P4" s="77"/>
      <c r="Q4" s="77"/>
      <c r="R4" s="77"/>
      <c r="S4" s="77"/>
      <c r="T4" s="77"/>
      <c r="U4" s="77"/>
      <c r="V4" s="77"/>
      <c r="W4" s="77"/>
      <c r="X4" s="77"/>
      <c r="Y4" s="77"/>
      <c r="Z4" s="77"/>
      <c r="AA4" s="1"/>
      <c r="AB4" s="1"/>
      <c r="AC4" s="1"/>
      <c r="AD4" s="1"/>
      <c r="AE4" s="1"/>
      <c r="AF4" s="1"/>
      <c r="AG4" s="1"/>
      <c r="AH4" s="1"/>
      <c r="AI4" s="1"/>
      <c r="AJ4" s="1"/>
      <c r="AK4" s="1"/>
      <c r="AL4" s="1"/>
      <c r="AQ4" s="15" t="s">
        <v>67</v>
      </c>
      <c r="AR4" s="15">
        <v>2500</v>
      </c>
      <c r="AS4" s="15"/>
      <c r="AT4" s="15"/>
      <c r="AU4" s="15"/>
      <c r="AV4" s="15"/>
      <c r="AW4" s="15"/>
      <c r="AX4" s="15"/>
      <c r="AY4" s="15"/>
      <c r="AZ4" s="15"/>
      <c r="BA4" s="15"/>
      <c r="BB4" s="15"/>
      <c r="BC4" s="15"/>
      <c r="BD4" s="15"/>
      <c r="BE4" s="15"/>
      <c r="BF4" s="15"/>
      <c r="BG4" s="15"/>
      <c r="BH4" s="53" t="s">
        <v>75</v>
      </c>
      <c r="BI4" s="54">
        <f>SUMIFS(tbl利用[切捨分数],tbl利用[利用区分],$AQ$4)</f>
        <v>0</v>
      </c>
      <c r="BJ4" s="53" t="s">
        <v>80</v>
      </c>
      <c r="BK4" s="55">
        <f>SUMIFS(tbl利用[切捨分数],tbl利用[利用区分],$AQ$5)</f>
        <v>0</v>
      </c>
      <c r="BL4" s="68"/>
      <c r="BM4" s="68"/>
      <c r="BN4" s="15"/>
      <c r="BO4" s="15"/>
      <c r="BP4" s="15"/>
      <c r="BQ4" s="15"/>
      <c r="BR4" s="15"/>
      <c r="BS4" s="15"/>
      <c r="BT4" s="15"/>
      <c r="BU4" s="15"/>
      <c r="BV4" s="15"/>
      <c r="BW4" s="15"/>
      <c r="BX4" s="65"/>
      <c r="BY4" s="15"/>
    </row>
    <row r="5" spans="1:77" s="25" customFormat="1" ht="20.100000000000001" customHeight="1" x14ac:dyDescent="0.4">
      <c r="B5" s="77" t="s">
        <v>69</v>
      </c>
      <c r="C5" s="77"/>
      <c r="D5" s="77"/>
      <c r="E5" s="77"/>
      <c r="F5" s="77"/>
      <c r="G5" s="77"/>
      <c r="H5" s="77"/>
      <c r="I5" s="77"/>
      <c r="J5" s="77"/>
      <c r="K5" s="77"/>
      <c r="L5" s="77"/>
      <c r="M5" s="77"/>
      <c r="N5" s="77"/>
      <c r="O5" s="77"/>
      <c r="P5" s="77"/>
      <c r="Q5" s="77"/>
      <c r="R5" s="77"/>
      <c r="S5" s="77"/>
      <c r="T5" s="77"/>
      <c r="U5" s="77"/>
      <c r="V5" s="77"/>
      <c r="W5" s="77"/>
      <c r="X5" s="77"/>
      <c r="Y5" s="77"/>
      <c r="Z5" s="77"/>
      <c r="AA5" s="1"/>
      <c r="AB5" s="1"/>
      <c r="AC5" s="1"/>
      <c r="AD5" s="1"/>
      <c r="AE5" s="1"/>
      <c r="AF5" s="1"/>
      <c r="AG5" s="1"/>
      <c r="AH5" s="1"/>
      <c r="AI5" s="1"/>
      <c r="AJ5" s="1"/>
      <c r="AK5" s="1"/>
      <c r="AL5" s="1"/>
      <c r="AQ5" s="15" t="s">
        <v>68</v>
      </c>
      <c r="AR5" s="15">
        <v>3500</v>
      </c>
      <c r="AS5" s="15"/>
      <c r="AT5" s="15"/>
      <c r="AU5" s="15"/>
      <c r="AV5" s="15"/>
      <c r="AW5" s="15"/>
      <c r="AX5" s="15"/>
      <c r="AY5" s="15"/>
      <c r="AZ5" s="15"/>
      <c r="BA5" s="15"/>
      <c r="BB5" s="15"/>
      <c r="BC5" s="15"/>
      <c r="BD5" s="15"/>
      <c r="BE5" s="15"/>
      <c r="BF5" s="15"/>
      <c r="BG5" s="15"/>
      <c r="BH5" s="53" t="s">
        <v>76</v>
      </c>
      <c r="BI5" s="57" t="str">
        <f>IF(BI3=BI4,"OK","要確認")</f>
        <v>OK</v>
      </c>
      <c r="BJ5" s="53" t="s">
        <v>81</v>
      </c>
      <c r="BK5" s="57" t="str">
        <f>IF(BK3=BK4,"OK","要確認")</f>
        <v>OK</v>
      </c>
      <c r="BL5" s="60"/>
      <c r="BM5" s="61"/>
      <c r="BN5" s="15"/>
      <c r="BO5" s="15"/>
      <c r="BP5" s="15"/>
      <c r="BQ5" s="15"/>
      <c r="BR5" s="15"/>
      <c r="BS5" s="15"/>
      <c r="BT5" s="15"/>
      <c r="BU5" s="15"/>
      <c r="BV5" s="15"/>
      <c r="BW5" s="15"/>
      <c r="BX5" s="65"/>
      <c r="BY5" s="15"/>
    </row>
    <row r="6" spans="1:77" s="1" customFormat="1" ht="20.100000000000001" customHeight="1" x14ac:dyDescent="0.4">
      <c r="B6" s="78" t="s">
        <v>70</v>
      </c>
      <c r="C6" s="78"/>
      <c r="D6" s="78"/>
      <c r="E6" s="78"/>
      <c r="F6" s="78"/>
      <c r="G6" s="78"/>
      <c r="H6" s="78"/>
      <c r="I6" s="78"/>
      <c r="J6" s="78"/>
      <c r="K6" s="78"/>
      <c r="L6" s="78"/>
      <c r="M6" s="78"/>
      <c r="N6" s="78"/>
      <c r="O6" s="78"/>
      <c r="P6" s="78"/>
      <c r="Q6" s="78"/>
      <c r="R6" s="78"/>
      <c r="S6" s="78"/>
      <c r="T6" s="78"/>
      <c r="U6" s="78"/>
      <c r="V6" s="78"/>
      <c r="W6" s="78"/>
      <c r="X6" s="78"/>
      <c r="Y6" s="78"/>
      <c r="Z6" s="78"/>
      <c r="AQ6" s="15"/>
      <c r="AR6" s="15"/>
      <c r="AS6" s="15"/>
      <c r="BH6" s="64" t="s">
        <v>88</v>
      </c>
      <c r="BI6" s="63">
        <f>SUMIFS(tbl利用[日別区分補助減少額],tbl利用[利用区分],$AQ$4,tbl利用[日別区分代表行],1)</f>
        <v>0</v>
      </c>
      <c r="BJ6" s="64" t="s">
        <v>88</v>
      </c>
      <c r="BK6" s="63">
        <f>SUMIFS(tbl利用[日別区分補助減少額],tbl利用[利用区分],$AQ$5,tbl利用[日別区分代表行],1)</f>
        <v>0</v>
      </c>
      <c r="BX6" s="42"/>
    </row>
    <row r="7" spans="1:77" s="1" customFormat="1" ht="30" customHeight="1" x14ac:dyDescent="0.4">
      <c r="A7" s="19" t="s">
        <v>25</v>
      </c>
      <c r="B7" s="126" t="s">
        <v>0</v>
      </c>
      <c r="C7" s="127"/>
      <c r="D7" s="127"/>
      <c r="E7" s="124"/>
      <c r="F7" s="23" t="s">
        <v>66</v>
      </c>
      <c r="G7" s="128" t="s">
        <v>32</v>
      </c>
      <c r="H7" s="129"/>
      <c r="I7" s="129"/>
      <c r="J7" s="129"/>
      <c r="K7" s="129"/>
      <c r="L7" s="129"/>
      <c r="M7" s="129"/>
      <c r="N7" s="123" t="s">
        <v>1</v>
      </c>
      <c r="O7" s="124"/>
      <c r="P7" s="124"/>
      <c r="Q7" s="124"/>
      <c r="R7" s="130" t="s">
        <v>2</v>
      </c>
      <c r="S7" s="130"/>
      <c r="T7" s="130"/>
      <c r="U7" s="120" t="s">
        <v>94</v>
      </c>
      <c r="V7" s="121"/>
      <c r="W7" s="121"/>
      <c r="X7" s="120" t="s">
        <v>93</v>
      </c>
      <c r="Y7" s="121"/>
      <c r="Z7" s="121"/>
      <c r="AB7" s="122" t="s">
        <v>5</v>
      </c>
      <c r="AC7" s="122"/>
      <c r="AD7" s="122"/>
      <c r="AE7" s="122"/>
      <c r="AF7" s="122"/>
      <c r="AG7" s="122"/>
      <c r="AH7" s="122"/>
      <c r="AI7" s="123" t="s">
        <v>6</v>
      </c>
      <c r="AJ7" s="124"/>
      <c r="AK7" s="124"/>
      <c r="AL7" s="124"/>
      <c r="AM7" s="122" t="s">
        <v>7</v>
      </c>
      <c r="AN7" s="122"/>
      <c r="AO7" s="122"/>
      <c r="AP7" s="123"/>
      <c r="AQ7" s="26" t="s">
        <v>34</v>
      </c>
      <c r="AR7" s="26" t="s">
        <v>35</v>
      </c>
      <c r="AS7" s="26" t="s">
        <v>36</v>
      </c>
      <c r="AT7" s="26" t="s">
        <v>37</v>
      </c>
      <c r="AU7" s="26" t="s">
        <v>38</v>
      </c>
      <c r="AV7" s="26" t="s">
        <v>39</v>
      </c>
      <c r="AW7" s="26" t="s">
        <v>40</v>
      </c>
      <c r="AX7" s="26" t="s">
        <v>41</v>
      </c>
      <c r="AY7" s="26" t="s">
        <v>42</v>
      </c>
      <c r="AZ7" s="26" t="s">
        <v>43</v>
      </c>
      <c r="BA7" s="26" t="s">
        <v>44</v>
      </c>
      <c r="BB7" s="26" t="s">
        <v>45</v>
      </c>
      <c r="BC7" s="26" t="s">
        <v>46</v>
      </c>
      <c r="BD7" s="26" t="s">
        <v>47</v>
      </c>
      <c r="BE7" s="26" t="s">
        <v>48</v>
      </c>
      <c r="BF7" s="26" t="s">
        <v>49</v>
      </c>
      <c r="BG7" s="26" t="s">
        <v>50</v>
      </c>
      <c r="BH7" s="26" t="s">
        <v>51</v>
      </c>
      <c r="BI7" s="26" t="s">
        <v>52</v>
      </c>
      <c r="BJ7" s="47" t="s">
        <v>53</v>
      </c>
      <c r="BK7" s="49" t="s">
        <v>54</v>
      </c>
      <c r="BL7" s="48" t="s">
        <v>55</v>
      </c>
      <c r="BM7" s="26" t="s">
        <v>56</v>
      </c>
      <c r="BN7" s="26" t="s">
        <v>57</v>
      </c>
      <c r="BO7" s="26" t="s">
        <v>58</v>
      </c>
      <c r="BP7" s="26" t="s">
        <v>85</v>
      </c>
      <c r="BQ7" s="47" t="s">
        <v>86</v>
      </c>
      <c r="BR7" s="51" t="s">
        <v>87</v>
      </c>
      <c r="BS7" s="48" t="s">
        <v>59</v>
      </c>
      <c r="BT7" s="26" t="s">
        <v>60</v>
      </c>
      <c r="BU7" s="26" t="s">
        <v>61</v>
      </c>
      <c r="BV7" s="26" t="s">
        <v>62</v>
      </c>
      <c r="BW7" s="26" t="s">
        <v>63</v>
      </c>
      <c r="BX7" s="26" t="s">
        <v>64</v>
      </c>
      <c r="BY7" s="26" t="s">
        <v>65</v>
      </c>
    </row>
    <row r="8" spans="1:77" s="1" customFormat="1" ht="28.5" customHeight="1" x14ac:dyDescent="0.4">
      <c r="A8" s="19">
        <v>1</v>
      </c>
      <c r="B8" s="75"/>
      <c r="C8" s="76"/>
      <c r="D8" s="76"/>
      <c r="E8" s="76"/>
      <c r="F8" s="74"/>
      <c r="G8" s="13"/>
      <c r="H8" s="22" t="s">
        <v>8</v>
      </c>
      <c r="I8" s="14"/>
      <c r="J8" s="22" t="s">
        <v>9</v>
      </c>
      <c r="K8" s="14"/>
      <c r="L8" s="22" t="s">
        <v>8</v>
      </c>
      <c r="M8" s="14"/>
      <c r="N8" s="2" t="str">
        <f>IF(OR(ISBLANK(G8),ISBLANK(I8),ISBLANK(K8),ISBLANK(M8)),"",IF(IF(M8-I8&lt;0,K8-G8-1,K8-G8)&lt;0,"エラー",IF(M8-I8&lt;0,K8-G8-1,K8-G8)))</f>
        <v/>
      </c>
      <c r="O8" s="22" t="s">
        <v>10</v>
      </c>
      <c r="P8" s="22" t="str">
        <f>IF(OR(ISBLANK(G8),ISBLANK(I8),ISBLANK(K8),ISBLANK(M8)),"",IF(N8="エラー","エラー",IF(M8-I8&lt;0,M8-I8+60,M8-I8)))</f>
        <v/>
      </c>
      <c r="Q8" s="3" t="s">
        <v>11</v>
      </c>
      <c r="R8" s="79"/>
      <c r="S8" s="80"/>
      <c r="T8" s="4" t="s">
        <v>12</v>
      </c>
      <c r="U8" s="79"/>
      <c r="V8" s="80"/>
      <c r="W8" s="4" t="s">
        <v>12</v>
      </c>
      <c r="X8" s="79"/>
      <c r="Y8" s="80"/>
      <c r="Z8" s="4" t="s">
        <v>12</v>
      </c>
      <c r="AB8" s="5" t="str">
        <f>IF(K8&lt;7,"",IF(G8&gt;22,0,IF(G8&lt;7,7,G8)))</f>
        <v/>
      </c>
      <c r="AC8" s="20" t="s">
        <v>8</v>
      </c>
      <c r="AD8" s="6" t="str">
        <f t="shared" ref="AD8:AD11" si="0">IF(AB8="","",IF(G8&gt;21,0,IF(G8&lt;7,0,I8)))</f>
        <v/>
      </c>
      <c r="AE8" s="20" t="s">
        <v>9</v>
      </c>
      <c r="AF8" s="6" t="str">
        <f>IF(AB8="","",IF(G8&gt;22,"",IF(K8&gt;22,22,IF(K8&lt;7,0,K8))))</f>
        <v/>
      </c>
      <c r="AG8" s="20" t="s">
        <v>8</v>
      </c>
      <c r="AH8" s="6" t="str">
        <f>IF(AB8="","",IF(K8&gt;21,0,IF(K8&lt;7,0,M8)))</f>
        <v/>
      </c>
      <c r="AI8" s="7" t="str">
        <f>IFERROR(IF(OR(ISBLANK(AB8),ISBLANK(AD8),ISBLANK(AF8),ISBLANK(AH8)),"",IF(AH8-AD8&lt;0,AF8-AB8-1,AF8-AB8)),"")</f>
        <v/>
      </c>
      <c r="AJ8" s="20" t="s">
        <v>10</v>
      </c>
      <c r="AK8" s="8" t="str">
        <f>IFERROR(IF(OR(ISBLANK(AB8),ISBLANK(AD8),ISBLANK(AF8),ISBLANK(AH8)),"",IF(AH8-AD8&lt;0,AH8-AD8+60,AH8-AD8)),"")</f>
        <v/>
      </c>
      <c r="AL8" s="9" t="s">
        <v>11</v>
      </c>
      <c r="AM8" s="7" t="str">
        <f>IF(AI8="",N8,IFERROR(IF(P8-AK8&lt;0,N8-AI8-1,N8-AI8),""))</f>
        <v/>
      </c>
      <c r="AN8" s="20" t="s">
        <v>10</v>
      </c>
      <c r="AO8" s="8" t="str">
        <f>IF(AK8="",P8,IFERROR(IF(P8-AK8&lt;0,P8-AK8+60,P8-AK8),""))</f>
        <v/>
      </c>
      <c r="AP8" s="9" t="s">
        <v>11</v>
      </c>
      <c r="AQ8" s="15" t="str" cm="1">
        <f t="array" ref="AQ8">IF(tbl利用[[#This Row],[利用日]]="","",ROW()-ROW(tbl利用[#Headers]))</f>
        <v/>
      </c>
      <c r="AR8" s="32" t="str">
        <f>IF(B8="","",B8)</f>
        <v/>
      </c>
      <c r="AS8" s="15"/>
      <c r="AT8" s="43" t="str">
        <f>IF(F8="","",F8)</f>
        <v/>
      </c>
      <c r="AU8" s="1" t="str">
        <f>IF(F8="利用区分１",AI8,AM8)</f>
        <v/>
      </c>
      <c r="AV8" s="1" t="str">
        <f>IF(F8="利用区分１",AK8,AO8)</f>
        <v/>
      </c>
      <c r="AW8" s="1" t="str">
        <f>IF(tbl利用[[#This Row],[利用日]]="","",N(tbl利用[[#This Row],[利用時間_時]])*60+N(tbl利用[[#This Row],[利用時間_分]]))</f>
        <v/>
      </c>
      <c r="AX8" s="44" t="str">
        <f>IF(R8="","",R8)</f>
        <v/>
      </c>
      <c r="AY8" s="44" t="str">
        <f t="shared" ref="AY8:AY42" si="1">IF(X8="","",X8)</f>
        <v/>
      </c>
      <c r="AZ8" s="45" t="str">
        <f>IF(tbl利用[[#This Row],[利用日]]="","",MAX(0,N(tbl利用[[#This Row],[割引前利用額]])-N(tbl利用[[#This Row],[割引額]])))</f>
        <v/>
      </c>
      <c r="BA8" s="45" t="str">
        <f>IF(OR(tbl利用[[#This Row],[利用日]]="",tbl利用[[#This Row],[利用分数]]&lt;=0),"",N(tbl利用[[#This Row],[割引前利用額]])/tbl利用[[#This Row],[利用分数]]*60)</f>
        <v/>
      </c>
      <c r="BB8" s="45" t="str">
        <f>IF(tbl利用[[#This Row],[利用区分]]="","",_xlfn.XLOOKUP(tbl利用[[#This Row],[利用区分]],$AQ$4:$AQ$5,$AR$4:$AR$5,"区分未登録"))</f>
        <v/>
      </c>
      <c r="BC8" s="45" t="str">
        <f>IF(OR(tbl利用[[#This Row],[通常時間単価]]="",NOT(ISNUMBER(tbl利用[[#This Row],[上限単価]]))),"",MIN(tbl利用[[#This Row],[通常時間単価]],tbl利用[[#This Row],[上限単価]]))</f>
        <v/>
      </c>
      <c r="BD8" s="45" t="str">
        <f>IF(tbl利用[[#This Row],[利用日]]="","",tbl利用[[#This Row],[利用分数]]/60*tbl利用[[#This Row],[基準単価]])</f>
        <v/>
      </c>
      <c r="BE8" s="45" t="str">
        <f>IF(OR(tbl利用[[#This Row],[利用日]]="",tbl利用[[#This Row],[利用区分]]=""),"",TEXT(tbl利用[[#This Row],[利用日]],"yyyymmdd")&amp;"|"&amp;tbl利用[[#This Row],[利用区分]])</f>
        <v/>
      </c>
      <c r="BF8" s="45" t="str">
        <f>IF(tbl利用[[#This Row],[日別区分キー]]="","",SUMIFS(tbl利用[明細実支出額],tbl利用[日別区分キー],tbl利用[[#This Row],[日別区分キー]]))</f>
        <v/>
      </c>
      <c r="BG8" s="45" t="str">
        <f>IF(tbl利用[[#This Row],[日別区分キー]]="","",SUMIFS(tbl利用[処理前明細基準額],tbl利用[日別区分キー],tbl利用[[#This Row],[日別区分キー]]))</f>
        <v/>
      </c>
      <c r="BH8" s="45" t="str">
        <f>IF(tbl利用[[#This Row],[日別区分キー]]="","",ROUNDDOWN(MIN(tbl利用[[#This Row],[日別区分実支出額]],tbl利用[[#This Row],[日別区分処理前基準額]]),0))</f>
        <v/>
      </c>
      <c r="BI8" s="45" t="str">
        <f>IF(tbl利用[[#This Row],[日別区分キー]]="","",MAX(0,tbl利用[[#This Row],[日別区分処理前基準額]]-tbl利用[[#This Row],[日別区分実支出額]]))</f>
        <v/>
      </c>
      <c r="BJ8" s="45">
        <f>IF(OR(tbl利用[[#This Row],[利用日]]="",tbl利用[[#This Row],[基準単価]]&lt;=0),0,MIN(tbl利用[[#This Row],[利用分数]],ROUNDDOWN(tbl利用[[#This Row],[日別区分余裕額]]/(tbl利用[[#This Row],[基準単価]]/60),0)))</f>
        <v>0</v>
      </c>
      <c r="BK8" s="50"/>
      <c r="BL8" s="45" t="str">
        <f>IF(tbl利用[[#This Row],[利用日]]="","",MAX(0,tbl利用[[#This Row],[利用分数]]-N(tbl利用[[#This Row],[切捨分数]])))</f>
        <v/>
      </c>
      <c r="BM8" s="45" t="str">
        <f>IF(tbl利用[[#This Row],[利用日]]="","",tbl利用[[#This Row],[処理後利用分数]]/60*tbl利用[[#This Row],[基準単価]])</f>
        <v/>
      </c>
      <c r="BN8" s="45" t="str">
        <f>IF(tbl利用[[#This Row],[日別区分キー]]="","",SUMIFS(tbl利用[処理後明細基準額],tbl利用[日別区分キー],tbl利用[[#This Row],[日別区分キー]]))</f>
        <v/>
      </c>
      <c r="BO8" s="45" t="str">
        <f>IF(tbl利用[[#This Row],[日別区分キー]]="","",ROUNDDOWN(MIN(tbl利用[[#This Row],[日別区分実支出額]],tbl利用[[#This Row],[日別区分処理後基準額]]),0))</f>
        <v/>
      </c>
      <c r="BP8" s="45" t="str">
        <f>IF(tbl利用[[#This Row],[日別区分キー]]="","",tbl利用[[#This Row],[日別区分処理前補助額]]-tbl利用[[#This Row],[日別区分補助額]])</f>
        <v/>
      </c>
      <c r="BQ8" s="45" t="str">
        <f>IF(OR(tbl利用[[#This Row],[日別区分キー]]="",tbl利用[[#This Row],[処理後利用分数]]&lt;=0),"",ROUNDDOWN(MIN(tbl利用[[#This Row],[日別区分実支出額]],tbl利用[[#This Row],[日別区分処理後基準額]]-tbl利用[[#This Row],[基準単価]]/60),0))</f>
        <v/>
      </c>
      <c r="BR8" s="52" t="str">
        <f>IF(tbl利用[[#This Row],[次の1分切捨時補助額]]="","",tbl利用[[#This Row],[日別区分補助額]]-tbl利用[[#This Row],[次の1分切捨時補助額]])</f>
        <v/>
      </c>
      <c r="BS8" s="45" t="str">
        <f>IF(tbl利用[[#This Row],[日別区分キー]]="","",--(COUNTIF(INDEX(tbl利用[日別区分キー],1):tbl利用[[#This Row],[日別区分キー]],tbl利用[[#This Row],[日別区分キー]])=1))</f>
        <v/>
      </c>
      <c r="BT8" s="45" t="str">
        <f>IF(tbl利用[[#This Row],[利用区分]]="","",SUMIFS(tbl利用[利用分数],tbl利用[利用区分],tbl利用[[#This Row],[利用区分]]))</f>
        <v/>
      </c>
      <c r="BU8" s="45" t="str">
        <f>IF(tbl利用[[#This Row],[利用区分]]="","",MOD(tbl利用[[#This Row],[区分総利用分数]],60))</f>
        <v/>
      </c>
      <c r="BV8" s="45" t="str">
        <f>IF(tbl利用[[#This Row],[利用区分]]="","",SUMIFS(tbl利用[切捨分数],tbl利用[利用区分],tbl利用[[#This Row],[利用区分]]))</f>
        <v/>
      </c>
      <c r="BW8" s="45" t="str">
        <f>IF(tbl利用[[#This Row],[利用区分]]="","",IF(tbl利用[[#This Row],[区分必要切捨分数]]=tbl利用[[#This Row],[区分入力切捨合計]],"OK","要確認"))</f>
        <v/>
      </c>
      <c r="BX8"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8" s="46"/>
    </row>
    <row r="9" spans="1:77" s="1" customFormat="1" ht="28.5" customHeight="1" x14ac:dyDescent="0.4">
      <c r="A9" s="19">
        <v>2</v>
      </c>
      <c r="B9" s="75"/>
      <c r="C9" s="76"/>
      <c r="D9" s="76"/>
      <c r="E9" s="76"/>
      <c r="F9" s="74"/>
      <c r="G9" s="13"/>
      <c r="H9" s="22" t="s">
        <v>8</v>
      </c>
      <c r="I9" s="14"/>
      <c r="J9" s="22" t="s">
        <v>9</v>
      </c>
      <c r="K9" s="14"/>
      <c r="L9" s="22" t="s">
        <v>8</v>
      </c>
      <c r="M9" s="14"/>
      <c r="N9" s="2" t="str">
        <f t="shared" ref="N9:N42" si="2">IF(OR(ISBLANK(G9),ISBLANK(I9),ISBLANK(K9),ISBLANK(M9)),"",IF(IF(M9-I9&lt;0,K9-G9-1,K9-G9)&lt;0,"エラー",IF(M9-I9&lt;0,K9-G9-1,K9-G9)))</f>
        <v/>
      </c>
      <c r="O9" s="22" t="s">
        <v>10</v>
      </c>
      <c r="P9" s="22" t="str">
        <f t="shared" ref="P9:P42" si="3">IF(OR(ISBLANK(G9),ISBLANK(I9),ISBLANK(K9),ISBLANK(M9)),"",IF(N9="エラー","エラー",IF(M9-I9&lt;0,M9-I9+60,M9-I9)))</f>
        <v/>
      </c>
      <c r="Q9" s="3" t="s">
        <v>11</v>
      </c>
      <c r="R9" s="79"/>
      <c r="S9" s="80"/>
      <c r="T9" s="4" t="s">
        <v>12</v>
      </c>
      <c r="U9" s="79"/>
      <c r="V9" s="80"/>
      <c r="W9" s="4" t="s">
        <v>12</v>
      </c>
      <c r="X9" s="80"/>
      <c r="Y9" s="81"/>
      <c r="Z9" s="4" t="s">
        <v>12</v>
      </c>
      <c r="AB9" s="5" t="str">
        <f t="shared" ref="AB9:AB42" si="4">IF(K9&lt;7,"",IF(G9&gt;22,0,IF(G9&lt;7,7,G9)))</f>
        <v/>
      </c>
      <c r="AC9" s="20" t="s">
        <v>8</v>
      </c>
      <c r="AD9" s="6" t="str">
        <f t="shared" si="0"/>
        <v/>
      </c>
      <c r="AE9" s="20" t="s">
        <v>9</v>
      </c>
      <c r="AF9" s="6" t="str">
        <f t="shared" ref="AF9:AF42" si="5">IF(AB9="","",IF(G9&gt;22,"",IF(K9&gt;22,22,IF(K9&lt;7,0,K9))))</f>
        <v/>
      </c>
      <c r="AG9" s="20" t="s">
        <v>8</v>
      </c>
      <c r="AH9" s="6" t="str">
        <f t="shared" ref="AH9:AH42" si="6">IF(AB9="","",IF(K9&gt;21,0,IF(K9&lt;7,0,M9)))</f>
        <v/>
      </c>
      <c r="AI9" s="7" t="str">
        <f t="shared" ref="AI9:AI42" si="7">IFERROR(IF(OR(ISBLANK(AB9),ISBLANK(AD9),ISBLANK(AF9),ISBLANK(AH9)),"",IF(AH9-AD9&lt;0,AF9-AB9-1,AF9-AB9)),"")</f>
        <v/>
      </c>
      <c r="AJ9" s="20" t="s">
        <v>10</v>
      </c>
      <c r="AK9" s="8" t="str">
        <f t="shared" ref="AK9:AK42" si="8">IFERROR(IF(OR(ISBLANK(AB9),ISBLANK(AD9),ISBLANK(AF9),ISBLANK(AH9)),"",IF(AH9-AD9&lt;0,AH9-AD9+60,AH9-AD9)),"")</f>
        <v/>
      </c>
      <c r="AL9" s="9" t="s">
        <v>11</v>
      </c>
      <c r="AM9" s="7" t="str">
        <f t="shared" ref="AM9:AM42" si="9">IF(AI9="",N9,IFERROR(IF(P9-AK9&lt;0,N9-AI9-1,N9-AI9),""))</f>
        <v/>
      </c>
      <c r="AN9" s="20" t="s">
        <v>10</v>
      </c>
      <c r="AO9" s="8" t="str">
        <f t="shared" ref="AO9:AO42" si="10">IF(AK9="",P9,IFERROR(IF(P9-AK9&lt;0,P9-AK9+60,P9-AK9),""))</f>
        <v/>
      </c>
      <c r="AP9" s="10" t="s">
        <v>11</v>
      </c>
      <c r="AQ9" s="15" t="str" cm="1">
        <f t="array" ref="AQ9">IF(tbl利用[[#This Row],[利用日]]="","",ROW()-ROW(tbl利用[#Headers]))</f>
        <v/>
      </c>
      <c r="AR9" s="32" t="str">
        <f t="shared" ref="AR9:AR29" si="11">IF(B9="","",B9)</f>
        <v/>
      </c>
      <c r="AS9" s="15"/>
      <c r="AT9" s="43" t="str">
        <f t="shared" ref="AT9:AT29" si="12">IF(F9="","",F9)</f>
        <v/>
      </c>
      <c r="AU9" s="1" t="str">
        <f t="shared" ref="AU9:AU29" si="13">IF(F9="利用区分１",AI9,AM9)</f>
        <v/>
      </c>
      <c r="AV9" s="1" t="str">
        <f t="shared" ref="AV9:AV29" si="14">IF(F9="利用区分１",AK9,AO9)</f>
        <v/>
      </c>
      <c r="AW9" s="1" t="str">
        <f>IF(tbl利用[[#This Row],[利用日]]="","",N(tbl利用[[#This Row],[利用時間_時]])*60+N(tbl利用[[#This Row],[利用時間_分]]))</f>
        <v/>
      </c>
      <c r="AX9" s="44" t="str">
        <f t="shared" ref="AX9:AX42" si="15">IF(R9="","",R9)</f>
        <v/>
      </c>
      <c r="AY9" s="44" t="str">
        <f t="shared" si="1"/>
        <v/>
      </c>
      <c r="AZ9" s="45" t="str">
        <f>IF(tbl利用[[#This Row],[利用日]]="","",MAX(0,N(tbl利用[[#This Row],[割引前利用額]])-N(tbl利用[[#This Row],[割引額]])))</f>
        <v/>
      </c>
      <c r="BA9" s="45" t="str">
        <f>IF(OR(tbl利用[[#This Row],[利用日]]="",tbl利用[[#This Row],[利用分数]]&lt;=0),"",N(tbl利用[[#This Row],[割引前利用額]])/tbl利用[[#This Row],[利用分数]]*60)</f>
        <v/>
      </c>
      <c r="BB9" s="45" t="str">
        <f>IF(tbl利用[[#This Row],[利用区分]]="","",_xlfn.XLOOKUP(tbl利用[[#This Row],[利用区分]],$AQ$4:$AQ$5,$AR$4:$AR$5,"区分未登録"))</f>
        <v/>
      </c>
      <c r="BC9" s="45" t="str">
        <f>IF(OR(tbl利用[[#This Row],[通常時間単価]]="",NOT(ISNUMBER(tbl利用[[#This Row],[上限単価]]))),"",MIN(tbl利用[[#This Row],[通常時間単価]],tbl利用[[#This Row],[上限単価]]))</f>
        <v/>
      </c>
      <c r="BD9" s="45" t="str">
        <f>IF(tbl利用[[#This Row],[利用日]]="","",tbl利用[[#This Row],[利用分数]]/60*tbl利用[[#This Row],[基準単価]])</f>
        <v/>
      </c>
      <c r="BE9" s="45" t="str">
        <f>IF(OR(tbl利用[[#This Row],[利用日]]="",tbl利用[[#This Row],[利用区分]]=""),"",TEXT(tbl利用[[#This Row],[利用日]],"yyyymmdd")&amp;"|"&amp;tbl利用[[#This Row],[利用区分]])</f>
        <v/>
      </c>
      <c r="BF9" s="45" t="str">
        <f>IF(tbl利用[[#This Row],[日別区分キー]]="","",SUMIFS(tbl利用[明細実支出額],tbl利用[日別区分キー],tbl利用[[#This Row],[日別区分キー]]))</f>
        <v/>
      </c>
      <c r="BG9" s="45" t="str">
        <f>IF(tbl利用[[#This Row],[日別区分キー]]="","",SUMIFS(tbl利用[処理前明細基準額],tbl利用[日別区分キー],tbl利用[[#This Row],[日別区分キー]]))</f>
        <v/>
      </c>
      <c r="BH9" s="45" t="str">
        <f>IF(tbl利用[[#This Row],[日別区分キー]]="","",ROUNDDOWN(MIN(tbl利用[[#This Row],[日別区分実支出額]],tbl利用[[#This Row],[日別区分処理前基準額]]),0))</f>
        <v/>
      </c>
      <c r="BI9" s="45" t="str">
        <f>IF(tbl利用[[#This Row],[日別区分キー]]="","",MAX(0,tbl利用[[#This Row],[日別区分処理前基準額]]-tbl利用[[#This Row],[日別区分実支出額]]))</f>
        <v/>
      </c>
      <c r="BJ9" s="45">
        <f>IF(OR(tbl利用[[#This Row],[利用日]]="",tbl利用[[#This Row],[基準単価]]&lt;=0),0,MIN(tbl利用[[#This Row],[利用分数]],ROUNDDOWN(tbl利用[[#This Row],[日別区分余裕額]]/(tbl利用[[#This Row],[基準単価]]/60),0)))</f>
        <v>0</v>
      </c>
      <c r="BK9" s="50"/>
      <c r="BL9" s="45" t="str">
        <f>IF(tbl利用[[#This Row],[利用日]]="","",MAX(0,tbl利用[[#This Row],[利用分数]]-N(tbl利用[[#This Row],[切捨分数]])))</f>
        <v/>
      </c>
      <c r="BM9" s="45" t="str">
        <f>IF(tbl利用[[#This Row],[利用日]]="","",tbl利用[[#This Row],[処理後利用分数]]/60*tbl利用[[#This Row],[基準単価]])</f>
        <v/>
      </c>
      <c r="BN9" s="45" t="str">
        <f>IF(tbl利用[[#This Row],[日別区分キー]]="","",SUMIFS(tbl利用[処理後明細基準額],tbl利用[日別区分キー],tbl利用[[#This Row],[日別区分キー]]))</f>
        <v/>
      </c>
      <c r="BO9" s="45" t="str">
        <f>IF(tbl利用[[#This Row],[日別区分キー]]="","",ROUNDDOWN(MIN(tbl利用[[#This Row],[日別区分実支出額]],tbl利用[[#This Row],[日別区分処理後基準額]]),0))</f>
        <v/>
      </c>
      <c r="BP9" s="45" t="str">
        <f>IF(tbl利用[[#This Row],[日別区分キー]]="","",tbl利用[[#This Row],[日別区分処理前補助額]]-tbl利用[[#This Row],[日別区分補助額]])</f>
        <v/>
      </c>
      <c r="BQ9" s="45" t="str">
        <f>IF(OR(tbl利用[[#This Row],[日別区分キー]]="",tbl利用[[#This Row],[処理後利用分数]]&lt;=0),"",ROUNDDOWN(MIN(tbl利用[[#This Row],[日別区分実支出額]],tbl利用[[#This Row],[日別区分処理後基準額]]-tbl利用[[#This Row],[基準単価]]/60),0))</f>
        <v/>
      </c>
      <c r="BR9" s="52" t="str">
        <f>IF(tbl利用[[#This Row],[次の1分切捨時補助額]]="","",tbl利用[[#This Row],[日別区分補助額]]-tbl利用[[#This Row],[次の1分切捨時補助額]])</f>
        <v/>
      </c>
      <c r="BS9" s="45" t="str">
        <f>IF(tbl利用[[#This Row],[日別区分キー]]="","",--(COUNTIF(INDEX(tbl利用[日別区分キー],1):tbl利用[[#This Row],[日別区分キー]],tbl利用[[#This Row],[日別区分キー]])=1))</f>
        <v/>
      </c>
      <c r="BT9" s="45" t="str">
        <f>IF(tbl利用[[#This Row],[利用区分]]="","",SUMIFS(tbl利用[利用分数],tbl利用[利用区分],tbl利用[[#This Row],[利用区分]]))</f>
        <v/>
      </c>
      <c r="BU9" s="45" t="str">
        <f>IF(tbl利用[[#This Row],[利用区分]]="","",MOD(tbl利用[[#This Row],[区分総利用分数]],60))</f>
        <v/>
      </c>
      <c r="BV9" s="45" t="str">
        <f>IF(tbl利用[[#This Row],[利用区分]]="","",SUMIFS(tbl利用[切捨分数],tbl利用[利用区分],tbl利用[[#This Row],[利用区分]]))</f>
        <v/>
      </c>
      <c r="BW9" s="45" t="str">
        <f>IF(tbl利用[[#This Row],[利用区分]]="","",IF(tbl利用[[#This Row],[区分必要切捨分数]]=tbl利用[[#This Row],[区分入力切捨合計]],"OK","要確認"))</f>
        <v/>
      </c>
      <c r="BX9"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9" s="46"/>
    </row>
    <row r="10" spans="1:77" s="1" customFormat="1" ht="28.5" customHeight="1" x14ac:dyDescent="0.4">
      <c r="A10" s="19">
        <v>3</v>
      </c>
      <c r="B10" s="75"/>
      <c r="C10" s="76"/>
      <c r="D10" s="76"/>
      <c r="E10" s="76"/>
      <c r="F10" s="74"/>
      <c r="G10" s="13"/>
      <c r="H10" s="22" t="s">
        <v>8</v>
      </c>
      <c r="I10" s="14"/>
      <c r="J10" s="22" t="s">
        <v>9</v>
      </c>
      <c r="K10" s="14"/>
      <c r="L10" s="22" t="s">
        <v>8</v>
      </c>
      <c r="M10" s="14"/>
      <c r="N10" s="2" t="str">
        <f t="shared" si="2"/>
        <v/>
      </c>
      <c r="O10" s="22" t="s">
        <v>10</v>
      </c>
      <c r="P10" s="22" t="str">
        <f>IF(OR(ISBLANK(G10),ISBLANK(I10),ISBLANK(K10),ISBLANK(M10)),"",IF(N10="エラー","エラー",IF(M10-I10&lt;0,M10-I10+60,M10-I10)))</f>
        <v/>
      </c>
      <c r="Q10" s="3" t="s">
        <v>11</v>
      </c>
      <c r="R10" s="79"/>
      <c r="S10" s="80"/>
      <c r="T10" s="4" t="s">
        <v>12</v>
      </c>
      <c r="U10" s="79"/>
      <c r="V10" s="80"/>
      <c r="W10" s="4" t="s">
        <v>12</v>
      </c>
      <c r="X10" s="80"/>
      <c r="Y10" s="81"/>
      <c r="Z10" s="4" t="s">
        <v>12</v>
      </c>
      <c r="AB10" s="5" t="str">
        <f t="shared" si="4"/>
        <v/>
      </c>
      <c r="AC10" s="20" t="s">
        <v>8</v>
      </c>
      <c r="AD10" s="6" t="str">
        <f t="shared" si="0"/>
        <v/>
      </c>
      <c r="AE10" s="20" t="s">
        <v>9</v>
      </c>
      <c r="AF10" s="6" t="str">
        <f t="shared" si="5"/>
        <v/>
      </c>
      <c r="AG10" s="20" t="s">
        <v>8</v>
      </c>
      <c r="AH10" s="6" t="str">
        <f t="shared" si="6"/>
        <v/>
      </c>
      <c r="AI10" s="7" t="str">
        <f t="shared" si="7"/>
        <v/>
      </c>
      <c r="AJ10" s="20" t="s">
        <v>10</v>
      </c>
      <c r="AK10" s="8" t="str">
        <f t="shared" si="8"/>
        <v/>
      </c>
      <c r="AL10" s="9" t="s">
        <v>11</v>
      </c>
      <c r="AM10" s="7" t="str">
        <f t="shared" si="9"/>
        <v/>
      </c>
      <c r="AN10" s="20" t="s">
        <v>10</v>
      </c>
      <c r="AO10" s="8" t="str">
        <f t="shared" si="10"/>
        <v/>
      </c>
      <c r="AP10" s="10" t="s">
        <v>11</v>
      </c>
      <c r="AQ10" s="15" t="str" cm="1">
        <f t="array" ref="AQ10">IF(tbl利用[[#This Row],[利用日]]="","",ROW()-ROW(tbl利用[#Headers]))</f>
        <v/>
      </c>
      <c r="AR10" s="32" t="str">
        <f t="shared" si="11"/>
        <v/>
      </c>
      <c r="AS10" s="15"/>
      <c r="AT10" s="43" t="str">
        <f t="shared" si="12"/>
        <v/>
      </c>
      <c r="AU10" s="1" t="str">
        <f t="shared" si="13"/>
        <v/>
      </c>
      <c r="AV10" s="1" t="str">
        <f t="shared" si="14"/>
        <v/>
      </c>
      <c r="AW10" s="1" t="str">
        <f>IF(tbl利用[[#This Row],[利用日]]="","",N(tbl利用[[#This Row],[利用時間_時]])*60+N(tbl利用[[#This Row],[利用時間_分]]))</f>
        <v/>
      </c>
      <c r="AX10" s="44" t="str">
        <f t="shared" si="15"/>
        <v/>
      </c>
      <c r="AY10" s="44" t="str">
        <f t="shared" si="1"/>
        <v/>
      </c>
      <c r="AZ10" s="45" t="str">
        <f>IF(tbl利用[[#This Row],[利用日]]="","",MAX(0,N(tbl利用[[#This Row],[割引前利用額]])-N(tbl利用[[#This Row],[割引額]])))</f>
        <v/>
      </c>
      <c r="BA10" s="45" t="str">
        <f>IF(OR(tbl利用[[#This Row],[利用日]]="",tbl利用[[#This Row],[利用分数]]&lt;=0),"",N(tbl利用[[#This Row],[割引前利用額]])/tbl利用[[#This Row],[利用分数]]*60)</f>
        <v/>
      </c>
      <c r="BB10" s="45" t="str">
        <f>IF(tbl利用[[#This Row],[利用区分]]="","",_xlfn.XLOOKUP(tbl利用[[#This Row],[利用区分]],$AQ$4:$AQ$5,$AR$4:$AR$5,"区分未登録"))</f>
        <v/>
      </c>
      <c r="BC10" s="45" t="str">
        <f>IF(OR(tbl利用[[#This Row],[通常時間単価]]="",NOT(ISNUMBER(tbl利用[[#This Row],[上限単価]]))),"",MIN(tbl利用[[#This Row],[通常時間単価]],tbl利用[[#This Row],[上限単価]]))</f>
        <v/>
      </c>
      <c r="BD10" s="45" t="str">
        <f>IF(tbl利用[[#This Row],[利用日]]="","",tbl利用[[#This Row],[利用分数]]/60*tbl利用[[#This Row],[基準単価]])</f>
        <v/>
      </c>
      <c r="BE10" s="45" t="str">
        <f>IF(OR(tbl利用[[#This Row],[利用日]]="",tbl利用[[#This Row],[利用区分]]=""),"",TEXT(tbl利用[[#This Row],[利用日]],"yyyymmdd")&amp;"|"&amp;tbl利用[[#This Row],[利用区分]])</f>
        <v/>
      </c>
      <c r="BF10" s="45" t="str">
        <f>IF(tbl利用[[#This Row],[日別区分キー]]="","",SUMIFS(tbl利用[明細実支出額],tbl利用[日別区分キー],tbl利用[[#This Row],[日別区分キー]]))</f>
        <v/>
      </c>
      <c r="BG10" s="45" t="str">
        <f>IF(tbl利用[[#This Row],[日別区分キー]]="","",SUMIFS(tbl利用[処理前明細基準額],tbl利用[日別区分キー],tbl利用[[#This Row],[日別区分キー]]))</f>
        <v/>
      </c>
      <c r="BH10" s="45" t="str">
        <f>IF(tbl利用[[#This Row],[日別区分キー]]="","",ROUNDDOWN(MIN(tbl利用[[#This Row],[日別区分実支出額]],tbl利用[[#This Row],[日別区分処理前基準額]]),0))</f>
        <v/>
      </c>
      <c r="BI10" s="45" t="str">
        <f>IF(tbl利用[[#This Row],[日別区分キー]]="","",MAX(0,tbl利用[[#This Row],[日別区分処理前基準額]]-tbl利用[[#This Row],[日別区分実支出額]]))</f>
        <v/>
      </c>
      <c r="BJ10" s="45">
        <f>IF(OR(tbl利用[[#This Row],[利用日]]="",tbl利用[[#This Row],[基準単価]]&lt;=0),0,MIN(tbl利用[[#This Row],[利用分数]],ROUNDDOWN(tbl利用[[#This Row],[日別区分余裕額]]/(tbl利用[[#This Row],[基準単価]]/60),0)))</f>
        <v>0</v>
      </c>
      <c r="BK10" s="50"/>
      <c r="BL10" s="45" t="str">
        <f>IF(tbl利用[[#This Row],[利用日]]="","",MAX(0,tbl利用[[#This Row],[利用分数]]-N(tbl利用[[#This Row],[切捨分数]])))</f>
        <v/>
      </c>
      <c r="BM10" s="45" t="str">
        <f>IF(tbl利用[[#This Row],[利用日]]="","",tbl利用[[#This Row],[処理後利用分数]]/60*tbl利用[[#This Row],[基準単価]])</f>
        <v/>
      </c>
      <c r="BN10" s="45" t="str">
        <f>IF(tbl利用[[#This Row],[日別区分キー]]="","",SUMIFS(tbl利用[処理後明細基準額],tbl利用[日別区分キー],tbl利用[[#This Row],[日別区分キー]]))</f>
        <v/>
      </c>
      <c r="BO10" s="45" t="str">
        <f>IF(tbl利用[[#This Row],[日別区分キー]]="","",ROUNDDOWN(MIN(tbl利用[[#This Row],[日別区分実支出額]],tbl利用[[#This Row],[日別区分処理後基準額]]),0))</f>
        <v/>
      </c>
      <c r="BP10" s="45" t="str">
        <f>IF(tbl利用[[#This Row],[日別区分キー]]="","",tbl利用[[#This Row],[日別区分処理前補助額]]-tbl利用[[#This Row],[日別区分補助額]])</f>
        <v/>
      </c>
      <c r="BQ10" s="45" t="str">
        <f>IF(OR(tbl利用[[#This Row],[日別区分キー]]="",tbl利用[[#This Row],[処理後利用分数]]&lt;=0),"",ROUNDDOWN(MIN(tbl利用[[#This Row],[日別区分実支出額]],tbl利用[[#This Row],[日別区分処理後基準額]]-tbl利用[[#This Row],[基準単価]]/60),0))</f>
        <v/>
      </c>
      <c r="BR10" s="52" t="str">
        <f>IF(tbl利用[[#This Row],[次の1分切捨時補助額]]="","",tbl利用[[#This Row],[日別区分補助額]]-tbl利用[[#This Row],[次の1分切捨時補助額]])</f>
        <v/>
      </c>
      <c r="BS10" s="45" t="str">
        <f>IF(tbl利用[[#This Row],[日別区分キー]]="","",--(COUNTIF(INDEX(tbl利用[日別区分キー],1):tbl利用[[#This Row],[日別区分キー]],tbl利用[[#This Row],[日別区分キー]])=1))</f>
        <v/>
      </c>
      <c r="BT10" s="45" t="str">
        <f>IF(tbl利用[[#This Row],[利用区分]]="","",SUMIFS(tbl利用[利用分数],tbl利用[利用区分],tbl利用[[#This Row],[利用区分]]))</f>
        <v/>
      </c>
      <c r="BU10" s="45" t="str">
        <f>IF(tbl利用[[#This Row],[利用区分]]="","",MOD(tbl利用[[#This Row],[区分総利用分数]],60))</f>
        <v/>
      </c>
      <c r="BV10" s="45" t="str">
        <f>IF(tbl利用[[#This Row],[利用区分]]="","",SUMIFS(tbl利用[切捨分数],tbl利用[利用区分],tbl利用[[#This Row],[利用区分]]))</f>
        <v/>
      </c>
      <c r="BW10" s="45" t="str">
        <f>IF(tbl利用[[#This Row],[利用区分]]="","",IF(tbl利用[[#This Row],[区分必要切捨分数]]=tbl利用[[#This Row],[区分入力切捨合計]],"OK","要確認"))</f>
        <v/>
      </c>
      <c r="BX10"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10" s="46"/>
    </row>
    <row r="11" spans="1:77" s="1" customFormat="1" ht="28.5" customHeight="1" x14ac:dyDescent="0.4">
      <c r="A11" s="19">
        <v>4</v>
      </c>
      <c r="B11" s="75"/>
      <c r="C11" s="76"/>
      <c r="D11" s="76"/>
      <c r="E11" s="76"/>
      <c r="F11" s="74"/>
      <c r="G11" s="13"/>
      <c r="H11" s="22" t="s">
        <v>8</v>
      </c>
      <c r="I11" s="14"/>
      <c r="J11" s="22" t="s">
        <v>9</v>
      </c>
      <c r="K11" s="14"/>
      <c r="L11" s="22" t="s">
        <v>8</v>
      </c>
      <c r="M11" s="14"/>
      <c r="N11" s="2" t="str">
        <f t="shared" si="2"/>
        <v/>
      </c>
      <c r="O11" s="22" t="s">
        <v>10</v>
      </c>
      <c r="P11" s="22" t="str">
        <f t="shared" si="3"/>
        <v/>
      </c>
      <c r="Q11" s="3" t="s">
        <v>11</v>
      </c>
      <c r="R11" s="79"/>
      <c r="S11" s="80"/>
      <c r="T11" s="4" t="s">
        <v>12</v>
      </c>
      <c r="U11" s="79"/>
      <c r="V11" s="80"/>
      <c r="W11" s="4" t="s">
        <v>12</v>
      </c>
      <c r="X11" s="80"/>
      <c r="Y11" s="81"/>
      <c r="Z11" s="4" t="s">
        <v>12</v>
      </c>
      <c r="AA11" s="15"/>
      <c r="AB11" s="5" t="str">
        <f t="shared" si="4"/>
        <v/>
      </c>
      <c r="AC11" s="20" t="s">
        <v>8</v>
      </c>
      <c r="AD11" s="6" t="str">
        <f t="shared" si="0"/>
        <v/>
      </c>
      <c r="AE11" s="20" t="s">
        <v>9</v>
      </c>
      <c r="AF11" s="6" t="str">
        <f>IF(AB11="","",IF(G11&gt;22,"",IF(K11&gt;22,22,IF(K11&lt;7,0,K11))))</f>
        <v/>
      </c>
      <c r="AG11" s="20" t="s">
        <v>8</v>
      </c>
      <c r="AH11" s="6" t="str">
        <f t="shared" si="6"/>
        <v/>
      </c>
      <c r="AI11" s="7" t="str">
        <f t="shared" si="7"/>
        <v/>
      </c>
      <c r="AJ11" s="20" t="s">
        <v>10</v>
      </c>
      <c r="AK11" s="8" t="str">
        <f t="shared" si="8"/>
        <v/>
      </c>
      <c r="AL11" s="9" t="s">
        <v>11</v>
      </c>
      <c r="AM11" s="7" t="str">
        <f t="shared" si="9"/>
        <v/>
      </c>
      <c r="AN11" s="20" t="s">
        <v>10</v>
      </c>
      <c r="AO11" s="8" t="str">
        <f t="shared" si="10"/>
        <v/>
      </c>
      <c r="AP11" s="10" t="s">
        <v>11</v>
      </c>
      <c r="AQ11" s="15" t="str" cm="1">
        <f t="array" ref="AQ11">IF(tbl利用[[#This Row],[利用日]]="","",ROW()-ROW(tbl利用[#Headers]))</f>
        <v/>
      </c>
      <c r="AR11" s="32" t="str">
        <f t="shared" si="11"/>
        <v/>
      </c>
      <c r="AS11" s="15"/>
      <c r="AT11" s="43" t="str">
        <f t="shared" si="12"/>
        <v/>
      </c>
      <c r="AU11" s="1" t="str">
        <f t="shared" si="13"/>
        <v/>
      </c>
      <c r="AV11" s="1" t="str">
        <f t="shared" si="14"/>
        <v/>
      </c>
      <c r="AW11" s="1" t="str">
        <f>IF(tbl利用[[#This Row],[利用日]]="","",N(tbl利用[[#This Row],[利用時間_時]])*60+N(tbl利用[[#This Row],[利用時間_分]]))</f>
        <v/>
      </c>
      <c r="AX11" s="44" t="str">
        <f t="shared" si="15"/>
        <v/>
      </c>
      <c r="AY11" s="44" t="str">
        <f t="shared" si="1"/>
        <v/>
      </c>
      <c r="AZ11" s="45" t="str">
        <f>IF(tbl利用[[#This Row],[利用日]]="","",MAX(0,N(tbl利用[[#This Row],[割引前利用額]])-N(tbl利用[[#This Row],[割引額]])))</f>
        <v/>
      </c>
      <c r="BA11" s="45" t="str">
        <f>IF(OR(tbl利用[[#This Row],[利用日]]="",tbl利用[[#This Row],[利用分数]]&lt;=0),"",N(tbl利用[[#This Row],[割引前利用額]])/tbl利用[[#This Row],[利用分数]]*60)</f>
        <v/>
      </c>
      <c r="BB11" s="45" t="str">
        <f>IF(tbl利用[[#This Row],[利用区分]]="","",_xlfn.XLOOKUP(tbl利用[[#This Row],[利用区分]],$AQ$4:$AQ$5,$AR$4:$AR$5,"区分未登録"))</f>
        <v/>
      </c>
      <c r="BC11" s="45" t="str">
        <f>IF(OR(tbl利用[[#This Row],[通常時間単価]]="",NOT(ISNUMBER(tbl利用[[#This Row],[上限単価]]))),"",MIN(tbl利用[[#This Row],[通常時間単価]],tbl利用[[#This Row],[上限単価]]))</f>
        <v/>
      </c>
      <c r="BD11" s="45" t="str">
        <f>IF(tbl利用[[#This Row],[利用日]]="","",tbl利用[[#This Row],[利用分数]]/60*tbl利用[[#This Row],[基準単価]])</f>
        <v/>
      </c>
      <c r="BE11" s="45" t="str">
        <f>IF(OR(tbl利用[[#This Row],[利用日]]="",tbl利用[[#This Row],[利用区分]]=""),"",TEXT(tbl利用[[#This Row],[利用日]],"yyyymmdd")&amp;"|"&amp;tbl利用[[#This Row],[利用区分]])</f>
        <v/>
      </c>
      <c r="BF11" s="45" t="str">
        <f>IF(tbl利用[[#This Row],[日別区分キー]]="","",SUMIFS(tbl利用[明細実支出額],tbl利用[日別区分キー],tbl利用[[#This Row],[日別区分キー]]))</f>
        <v/>
      </c>
      <c r="BG11" s="45" t="str">
        <f>IF(tbl利用[[#This Row],[日別区分キー]]="","",SUMIFS(tbl利用[処理前明細基準額],tbl利用[日別区分キー],tbl利用[[#This Row],[日別区分キー]]))</f>
        <v/>
      </c>
      <c r="BH11" s="45" t="str">
        <f>IF(tbl利用[[#This Row],[日別区分キー]]="","",ROUNDDOWN(MIN(tbl利用[[#This Row],[日別区分実支出額]],tbl利用[[#This Row],[日別区分処理前基準額]]),0))</f>
        <v/>
      </c>
      <c r="BI11" s="45" t="str">
        <f>IF(tbl利用[[#This Row],[日別区分キー]]="","",MAX(0,tbl利用[[#This Row],[日別区分処理前基準額]]-tbl利用[[#This Row],[日別区分実支出額]]))</f>
        <v/>
      </c>
      <c r="BJ11" s="45">
        <f>IF(OR(tbl利用[[#This Row],[利用日]]="",tbl利用[[#This Row],[基準単価]]&lt;=0),0,MIN(tbl利用[[#This Row],[利用分数]],ROUNDDOWN(tbl利用[[#This Row],[日別区分余裕額]]/(tbl利用[[#This Row],[基準単価]]/60),0)))</f>
        <v>0</v>
      </c>
      <c r="BK11" s="50"/>
      <c r="BL11" s="45" t="str">
        <f>IF(tbl利用[[#This Row],[利用日]]="","",MAX(0,tbl利用[[#This Row],[利用分数]]-N(tbl利用[[#This Row],[切捨分数]])))</f>
        <v/>
      </c>
      <c r="BM11" s="45" t="str">
        <f>IF(tbl利用[[#This Row],[利用日]]="","",tbl利用[[#This Row],[処理後利用分数]]/60*tbl利用[[#This Row],[基準単価]])</f>
        <v/>
      </c>
      <c r="BN11" s="45" t="str">
        <f>IF(tbl利用[[#This Row],[日別区分キー]]="","",SUMIFS(tbl利用[処理後明細基準額],tbl利用[日別区分キー],tbl利用[[#This Row],[日別区分キー]]))</f>
        <v/>
      </c>
      <c r="BO11" s="45" t="str">
        <f>IF(tbl利用[[#This Row],[日別区分キー]]="","",ROUNDDOWN(MIN(tbl利用[[#This Row],[日別区分実支出額]],tbl利用[[#This Row],[日別区分処理後基準額]]),0))</f>
        <v/>
      </c>
      <c r="BP11" s="45" t="str">
        <f>IF(tbl利用[[#This Row],[日別区分キー]]="","",tbl利用[[#This Row],[日別区分処理前補助額]]-tbl利用[[#This Row],[日別区分補助額]])</f>
        <v/>
      </c>
      <c r="BQ11" s="45" t="str">
        <f>IF(OR(tbl利用[[#This Row],[日別区分キー]]="",tbl利用[[#This Row],[処理後利用分数]]&lt;=0),"",ROUNDDOWN(MIN(tbl利用[[#This Row],[日別区分実支出額]],tbl利用[[#This Row],[日別区分処理後基準額]]-tbl利用[[#This Row],[基準単価]]/60),0))</f>
        <v/>
      </c>
      <c r="BR11" s="52" t="str">
        <f>IF(tbl利用[[#This Row],[次の1分切捨時補助額]]="","",tbl利用[[#This Row],[日別区分補助額]]-tbl利用[[#This Row],[次の1分切捨時補助額]])</f>
        <v/>
      </c>
      <c r="BS11" s="45" t="str">
        <f>IF(tbl利用[[#This Row],[日別区分キー]]="","",--(COUNTIF(INDEX(tbl利用[日別区分キー],1):tbl利用[[#This Row],[日別区分キー]],tbl利用[[#This Row],[日別区分キー]])=1))</f>
        <v/>
      </c>
      <c r="BT11" s="45" t="str">
        <f>IF(tbl利用[[#This Row],[利用区分]]="","",SUMIFS(tbl利用[利用分数],tbl利用[利用区分],tbl利用[[#This Row],[利用区分]]))</f>
        <v/>
      </c>
      <c r="BU11" s="45" t="str">
        <f>IF(tbl利用[[#This Row],[利用区分]]="","",MOD(tbl利用[[#This Row],[区分総利用分数]],60))</f>
        <v/>
      </c>
      <c r="BV11" s="45" t="str">
        <f>IF(tbl利用[[#This Row],[利用区分]]="","",SUMIFS(tbl利用[切捨分数],tbl利用[利用区分],tbl利用[[#This Row],[利用区分]]))</f>
        <v/>
      </c>
      <c r="BW11" s="45" t="str">
        <f>IF(tbl利用[[#This Row],[利用区分]]="","",IF(tbl利用[[#This Row],[区分必要切捨分数]]=tbl利用[[#This Row],[区分入力切捨合計]],"OK","要確認"))</f>
        <v/>
      </c>
      <c r="BX11"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11" s="46"/>
    </row>
    <row r="12" spans="1:77" s="1" customFormat="1" ht="28.5" customHeight="1" x14ac:dyDescent="0.4">
      <c r="A12" s="19">
        <v>5</v>
      </c>
      <c r="B12" s="75"/>
      <c r="C12" s="76"/>
      <c r="D12" s="76"/>
      <c r="E12" s="76"/>
      <c r="F12" s="74"/>
      <c r="G12" s="13"/>
      <c r="H12" s="22" t="s">
        <v>8</v>
      </c>
      <c r="I12" s="14"/>
      <c r="J12" s="22" t="s">
        <v>9</v>
      </c>
      <c r="K12" s="14"/>
      <c r="L12" s="22" t="s">
        <v>8</v>
      </c>
      <c r="M12" s="14"/>
      <c r="N12" s="2" t="str">
        <f t="shared" si="2"/>
        <v/>
      </c>
      <c r="O12" s="22" t="s">
        <v>10</v>
      </c>
      <c r="P12" s="22" t="str">
        <f t="shared" si="3"/>
        <v/>
      </c>
      <c r="Q12" s="3" t="s">
        <v>11</v>
      </c>
      <c r="R12" s="79"/>
      <c r="S12" s="80"/>
      <c r="T12" s="4" t="s">
        <v>12</v>
      </c>
      <c r="U12" s="79"/>
      <c r="V12" s="80"/>
      <c r="W12" s="4" t="s">
        <v>12</v>
      </c>
      <c r="X12" s="80"/>
      <c r="Y12" s="81"/>
      <c r="Z12" s="4" t="s">
        <v>12</v>
      </c>
      <c r="AA12" s="15"/>
      <c r="AB12" s="5" t="str">
        <f t="shared" si="4"/>
        <v/>
      </c>
      <c r="AC12" s="20" t="s">
        <v>8</v>
      </c>
      <c r="AD12" s="6" t="str">
        <f>IF(AB12="","",IF(G12&gt;21,0,IF(G12&lt;7,0,I12)))</f>
        <v/>
      </c>
      <c r="AE12" s="20" t="s">
        <v>9</v>
      </c>
      <c r="AF12" s="6" t="str">
        <f>IF(AB12="","",IF(G12&gt;22,"",IF(K12&gt;22,22,IF(K12&lt;7,0,K12))))</f>
        <v/>
      </c>
      <c r="AG12" s="20" t="s">
        <v>8</v>
      </c>
      <c r="AH12" s="6" t="str">
        <f t="shared" si="6"/>
        <v/>
      </c>
      <c r="AI12" s="7" t="str">
        <f>IFERROR(IF(OR(ISBLANK(AB12),ISBLANK(AD12),ISBLANK(AF12),ISBLANK(AH12)),"",IF(AH12-AD12&lt;0,AF12-AB12-1,AF12-AB12)),"")</f>
        <v/>
      </c>
      <c r="AJ12" s="20" t="s">
        <v>10</v>
      </c>
      <c r="AK12" s="8" t="str">
        <f t="shared" si="8"/>
        <v/>
      </c>
      <c r="AL12" s="9" t="s">
        <v>11</v>
      </c>
      <c r="AM12" s="7" t="str">
        <f t="shared" si="9"/>
        <v/>
      </c>
      <c r="AN12" s="20" t="s">
        <v>10</v>
      </c>
      <c r="AO12" s="8" t="str">
        <f t="shared" si="10"/>
        <v/>
      </c>
      <c r="AP12" s="10" t="s">
        <v>11</v>
      </c>
      <c r="AQ12" s="15" t="str" cm="1">
        <f t="array" ref="AQ12">IF(tbl利用[[#This Row],[利用日]]="","",ROW()-ROW(tbl利用[#Headers]))</f>
        <v/>
      </c>
      <c r="AR12" s="32" t="str">
        <f t="shared" si="11"/>
        <v/>
      </c>
      <c r="AS12" s="15"/>
      <c r="AT12" s="43" t="str">
        <f t="shared" si="12"/>
        <v/>
      </c>
      <c r="AU12" s="1" t="str">
        <f t="shared" si="13"/>
        <v/>
      </c>
      <c r="AV12" s="1" t="str">
        <f t="shared" si="14"/>
        <v/>
      </c>
      <c r="AW12" s="1" t="str">
        <f>IF(tbl利用[[#This Row],[利用日]]="","",N(tbl利用[[#This Row],[利用時間_時]])*60+N(tbl利用[[#This Row],[利用時間_分]]))</f>
        <v/>
      </c>
      <c r="AX12" s="44" t="str">
        <f t="shared" si="15"/>
        <v/>
      </c>
      <c r="AY12" s="44" t="str">
        <f t="shared" si="1"/>
        <v/>
      </c>
      <c r="AZ12" s="45" t="str">
        <f>IF(tbl利用[[#This Row],[利用日]]="","",MAX(0,N(tbl利用[[#This Row],[割引前利用額]])-N(tbl利用[[#This Row],[割引額]])))</f>
        <v/>
      </c>
      <c r="BA12" s="45" t="str">
        <f>IF(OR(tbl利用[[#This Row],[利用日]]="",tbl利用[[#This Row],[利用分数]]&lt;=0),"",N(tbl利用[[#This Row],[割引前利用額]])/tbl利用[[#This Row],[利用分数]]*60)</f>
        <v/>
      </c>
      <c r="BB12" s="45" t="str">
        <f>IF(tbl利用[[#This Row],[利用区分]]="","",_xlfn.XLOOKUP(tbl利用[[#This Row],[利用区分]],$AQ$4:$AQ$5,$AR$4:$AR$5,"区分未登録"))</f>
        <v/>
      </c>
      <c r="BC12" s="45" t="str">
        <f>IF(OR(tbl利用[[#This Row],[通常時間単価]]="",NOT(ISNUMBER(tbl利用[[#This Row],[上限単価]]))),"",MIN(tbl利用[[#This Row],[通常時間単価]],tbl利用[[#This Row],[上限単価]]))</f>
        <v/>
      </c>
      <c r="BD12" s="45" t="str">
        <f>IF(tbl利用[[#This Row],[利用日]]="","",tbl利用[[#This Row],[利用分数]]/60*tbl利用[[#This Row],[基準単価]])</f>
        <v/>
      </c>
      <c r="BE12" s="45" t="str">
        <f>IF(OR(tbl利用[[#This Row],[利用日]]="",tbl利用[[#This Row],[利用区分]]=""),"",TEXT(tbl利用[[#This Row],[利用日]],"yyyymmdd")&amp;"|"&amp;tbl利用[[#This Row],[利用区分]])</f>
        <v/>
      </c>
      <c r="BF12" s="45" t="str">
        <f>IF(tbl利用[[#This Row],[日別区分キー]]="","",SUMIFS(tbl利用[明細実支出額],tbl利用[日別区分キー],tbl利用[[#This Row],[日別区分キー]]))</f>
        <v/>
      </c>
      <c r="BG12" s="45" t="str">
        <f>IF(tbl利用[[#This Row],[日別区分キー]]="","",SUMIFS(tbl利用[処理前明細基準額],tbl利用[日別区分キー],tbl利用[[#This Row],[日別区分キー]]))</f>
        <v/>
      </c>
      <c r="BH12" s="45" t="str">
        <f>IF(tbl利用[[#This Row],[日別区分キー]]="","",ROUNDDOWN(MIN(tbl利用[[#This Row],[日別区分実支出額]],tbl利用[[#This Row],[日別区分処理前基準額]]),0))</f>
        <v/>
      </c>
      <c r="BI12" s="45" t="str">
        <f>IF(tbl利用[[#This Row],[日別区分キー]]="","",MAX(0,tbl利用[[#This Row],[日別区分処理前基準額]]-tbl利用[[#This Row],[日別区分実支出額]]))</f>
        <v/>
      </c>
      <c r="BJ12" s="45">
        <f>IF(OR(tbl利用[[#This Row],[利用日]]="",tbl利用[[#This Row],[基準単価]]&lt;=0),0,MIN(tbl利用[[#This Row],[利用分数]],ROUNDDOWN(tbl利用[[#This Row],[日別区分余裕額]]/(tbl利用[[#This Row],[基準単価]]/60),0)))</f>
        <v>0</v>
      </c>
      <c r="BK12" s="50"/>
      <c r="BL12" s="45" t="str">
        <f>IF(tbl利用[[#This Row],[利用日]]="","",MAX(0,tbl利用[[#This Row],[利用分数]]-N(tbl利用[[#This Row],[切捨分数]])))</f>
        <v/>
      </c>
      <c r="BM12" s="45" t="str">
        <f>IF(tbl利用[[#This Row],[利用日]]="","",tbl利用[[#This Row],[処理後利用分数]]/60*tbl利用[[#This Row],[基準単価]])</f>
        <v/>
      </c>
      <c r="BN12" s="45" t="str">
        <f>IF(tbl利用[[#This Row],[日別区分キー]]="","",SUMIFS(tbl利用[処理後明細基準額],tbl利用[日別区分キー],tbl利用[[#This Row],[日別区分キー]]))</f>
        <v/>
      </c>
      <c r="BO12" s="45" t="str">
        <f>IF(tbl利用[[#This Row],[日別区分キー]]="","",ROUNDDOWN(MIN(tbl利用[[#This Row],[日別区分実支出額]],tbl利用[[#This Row],[日別区分処理後基準額]]),0))</f>
        <v/>
      </c>
      <c r="BP12" s="45" t="str">
        <f>IF(tbl利用[[#This Row],[日別区分キー]]="","",tbl利用[[#This Row],[日別区分処理前補助額]]-tbl利用[[#This Row],[日別区分補助額]])</f>
        <v/>
      </c>
      <c r="BQ12" s="45" t="str">
        <f>IF(OR(tbl利用[[#This Row],[日別区分キー]]="",tbl利用[[#This Row],[処理後利用分数]]&lt;=0),"",ROUNDDOWN(MIN(tbl利用[[#This Row],[日別区分実支出額]],tbl利用[[#This Row],[日別区分処理後基準額]]-tbl利用[[#This Row],[基準単価]]/60),0))</f>
        <v/>
      </c>
      <c r="BR12" s="52" t="str">
        <f>IF(tbl利用[[#This Row],[次の1分切捨時補助額]]="","",tbl利用[[#This Row],[日別区分補助額]]-tbl利用[[#This Row],[次の1分切捨時補助額]])</f>
        <v/>
      </c>
      <c r="BS12" s="45" t="str">
        <f>IF(tbl利用[[#This Row],[日別区分キー]]="","",--(COUNTIF(INDEX(tbl利用[日別区分キー],1):tbl利用[[#This Row],[日別区分キー]],tbl利用[[#This Row],[日別区分キー]])=1))</f>
        <v/>
      </c>
      <c r="BT12" s="45" t="str">
        <f>IF(tbl利用[[#This Row],[利用区分]]="","",SUMIFS(tbl利用[利用分数],tbl利用[利用区分],tbl利用[[#This Row],[利用区分]]))</f>
        <v/>
      </c>
      <c r="BU12" s="45" t="str">
        <f>IF(tbl利用[[#This Row],[利用区分]]="","",MOD(tbl利用[[#This Row],[区分総利用分数]],60))</f>
        <v/>
      </c>
      <c r="BV12" s="45" t="str">
        <f>IF(tbl利用[[#This Row],[利用区分]]="","",SUMIFS(tbl利用[切捨分数],tbl利用[利用区分],tbl利用[[#This Row],[利用区分]]))</f>
        <v/>
      </c>
      <c r="BW12" s="45" t="str">
        <f>IF(tbl利用[[#This Row],[利用区分]]="","",IF(tbl利用[[#This Row],[区分必要切捨分数]]=tbl利用[[#This Row],[区分入力切捨合計]],"OK","要確認"))</f>
        <v/>
      </c>
      <c r="BX12"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12" s="46"/>
    </row>
    <row r="13" spans="1:77" s="1" customFormat="1" ht="28.5" customHeight="1" x14ac:dyDescent="0.4">
      <c r="A13" s="19">
        <v>6</v>
      </c>
      <c r="B13" s="75"/>
      <c r="C13" s="76"/>
      <c r="D13" s="76"/>
      <c r="E13" s="76"/>
      <c r="F13" s="74"/>
      <c r="G13" s="13"/>
      <c r="H13" s="22" t="s">
        <v>8</v>
      </c>
      <c r="I13" s="14"/>
      <c r="J13" s="22" t="s">
        <v>9</v>
      </c>
      <c r="K13" s="14"/>
      <c r="L13" s="22" t="s">
        <v>8</v>
      </c>
      <c r="M13" s="14"/>
      <c r="N13" s="2" t="str">
        <f t="shared" si="2"/>
        <v/>
      </c>
      <c r="O13" s="22" t="s">
        <v>10</v>
      </c>
      <c r="P13" s="22" t="str">
        <f t="shared" si="3"/>
        <v/>
      </c>
      <c r="Q13" s="3" t="s">
        <v>11</v>
      </c>
      <c r="R13" s="79"/>
      <c r="S13" s="80"/>
      <c r="T13" s="4" t="s">
        <v>12</v>
      </c>
      <c r="U13" s="79"/>
      <c r="V13" s="80"/>
      <c r="W13" s="4" t="s">
        <v>12</v>
      </c>
      <c r="X13" s="80"/>
      <c r="Y13" s="81"/>
      <c r="Z13" s="4" t="s">
        <v>12</v>
      </c>
      <c r="AA13" s="15"/>
      <c r="AB13" s="5" t="str">
        <f t="shared" si="4"/>
        <v/>
      </c>
      <c r="AC13" s="20" t="s">
        <v>8</v>
      </c>
      <c r="AD13" s="6" t="str">
        <f t="shared" ref="AD13:AD42" si="16">IF(AB13="","",IF(G13&gt;21,0,IF(G13&lt;7,0,I13)))</f>
        <v/>
      </c>
      <c r="AE13" s="20" t="s">
        <v>9</v>
      </c>
      <c r="AF13" s="6" t="str">
        <f t="shared" si="5"/>
        <v/>
      </c>
      <c r="AG13" s="20" t="s">
        <v>8</v>
      </c>
      <c r="AH13" s="6" t="str">
        <f t="shared" si="6"/>
        <v/>
      </c>
      <c r="AI13" s="7" t="str">
        <f t="shared" si="7"/>
        <v/>
      </c>
      <c r="AJ13" s="20" t="s">
        <v>10</v>
      </c>
      <c r="AK13" s="8" t="str">
        <f t="shared" si="8"/>
        <v/>
      </c>
      <c r="AL13" s="9" t="s">
        <v>11</v>
      </c>
      <c r="AM13" s="7" t="str">
        <f t="shared" si="9"/>
        <v/>
      </c>
      <c r="AN13" s="20" t="s">
        <v>10</v>
      </c>
      <c r="AO13" s="8" t="str">
        <f t="shared" si="10"/>
        <v/>
      </c>
      <c r="AP13" s="10" t="s">
        <v>11</v>
      </c>
      <c r="AQ13" s="15" t="str" cm="1">
        <f t="array" ref="AQ13">IF(tbl利用[[#This Row],[利用日]]="","",ROW()-ROW(tbl利用[#Headers]))</f>
        <v/>
      </c>
      <c r="AR13" s="32" t="str">
        <f t="shared" si="11"/>
        <v/>
      </c>
      <c r="AS13" s="15"/>
      <c r="AT13" s="43" t="str">
        <f>IF(F13="","",F13)</f>
        <v/>
      </c>
      <c r="AU13" s="1" t="str">
        <f t="shared" si="13"/>
        <v/>
      </c>
      <c r="AV13" s="1" t="str">
        <f t="shared" si="14"/>
        <v/>
      </c>
      <c r="AW13" s="1" t="str">
        <f>IF(tbl利用[[#This Row],[利用日]]="","",N(tbl利用[[#This Row],[利用時間_時]])*60+N(tbl利用[[#This Row],[利用時間_分]]))</f>
        <v/>
      </c>
      <c r="AX13" s="44" t="str">
        <f t="shared" si="15"/>
        <v/>
      </c>
      <c r="AY13" s="44" t="str">
        <f t="shared" si="1"/>
        <v/>
      </c>
      <c r="AZ13" s="45" t="str">
        <f>IF(tbl利用[[#This Row],[利用日]]="","",MAX(0,N(tbl利用[[#This Row],[割引前利用額]])-N(tbl利用[[#This Row],[割引額]])))</f>
        <v/>
      </c>
      <c r="BA13" s="45" t="str">
        <f>IF(OR(tbl利用[[#This Row],[利用日]]="",tbl利用[[#This Row],[利用分数]]&lt;=0),"",N(tbl利用[[#This Row],[割引前利用額]])/tbl利用[[#This Row],[利用分数]]*60)</f>
        <v/>
      </c>
      <c r="BB13" s="45" t="str">
        <f>IF(tbl利用[[#This Row],[利用区分]]="","",_xlfn.XLOOKUP(tbl利用[[#This Row],[利用区分]],$AQ$4:$AQ$5,$AR$4:$AR$5,"区分未登録"))</f>
        <v/>
      </c>
      <c r="BC13" s="45" t="str">
        <f>IF(OR(tbl利用[[#This Row],[通常時間単価]]="",NOT(ISNUMBER(tbl利用[[#This Row],[上限単価]]))),"",MIN(tbl利用[[#This Row],[通常時間単価]],tbl利用[[#This Row],[上限単価]]))</f>
        <v/>
      </c>
      <c r="BD13" s="45" t="str">
        <f>IF(tbl利用[[#This Row],[利用日]]="","",tbl利用[[#This Row],[利用分数]]/60*tbl利用[[#This Row],[基準単価]])</f>
        <v/>
      </c>
      <c r="BE13" s="45" t="str">
        <f>IF(OR(tbl利用[[#This Row],[利用日]]="",tbl利用[[#This Row],[利用区分]]=""),"",TEXT(tbl利用[[#This Row],[利用日]],"yyyymmdd")&amp;"|"&amp;tbl利用[[#This Row],[利用区分]])</f>
        <v/>
      </c>
      <c r="BF13" s="45" t="str">
        <f>IF(tbl利用[[#This Row],[日別区分キー]]="","",SUMIFS(tbl利用[明細実支出額],tbl利用[日別区分キー],tbl利用[[#This Row],[日別区分キー]]))</f>
        <v/>
      </c>
      <c r="BG13" s="45" t="str">
        <f>IF(tbl利用[[#This Row],[日別区分キー]]="","",SUMIFS(tbl利用[処理前明細基準額],tbl利用[日別区分キー],tbl利用[[#This Row],[日別区分キー]]))</f>
        <v/>
      </c>
      <c r="BH13" s="45" t="str">
        <f>IF(tbl利用[[#This Row],[日別区分キー]]="","",ROUNDDOWN(MIN(tbl利用[[#This Row],[日別区分実支出額]],tbl利用[[#This Row],[日別区分処理前基準額]]),0))</f>
        <v/>
      </c>
      <c r="BI13" s="45" t="str">
        <f>IF(tbl利用[[#This Row],[日別区分キー]]="","",MAX(0,tbl利用[[#This Row],[日別区分処理前基準額]]-tbl利用[[#This Row],[日別区分実支出額]]))</f>
        <v/>
      </c>
      <c r="BJ13" s="45">
        <f>IF(OR(tbl利用[[#This Row],[利用日]]="",tbl利用[[#This Row],[基準単価]]&lt;=0),0,MIN(tbl利用[[#This Row],[利用分数]],ROUNDDOWN(tbl利用[[#This Row],[日別区分余裕額]]/(tbl利用[[#This Row],[基準単価]]/60),0)))</f>
        <v>0</v>
      </c>
      <c r="BK13" s="50"/>
      <c r="BL13" s="45" t="str">
        <f>IF(tbl利用[[#This Row],[利用日]]="","",MAX(0,tbl利用[[#This Row],[利用分数]]-N(tbl利用[[#This Row],[切捨分数]])))</f>
        <v/>
      </c>
      <c r="BM13" s="45" t="str">
        <f>IF(tbl利用[[#This Row],[利用日]]="","",tbl利用[[#This Row],[処理後利用分数]]/60*tbl利用[[#This Row],[基準単価]])</f>
        <v/>
      </c>
      <c r="BN13" s="45" t="str">
        <f>IF(tbl利用[[#This Row],[日別区分キー]]="","",SUMIFS(tbl利用[処理後明細基準額],tbl利用[日別区分キー],tbl利用[[#This Row],[日別区分キー]]))</f>
        <v/>
      </c>
      <c r="BO13" s="45" t="str">
        <f>IF(tbl利用[[#This Row],[日別区分キー]]="","",ROUNDDOWN(MIN(tbl利用[[#This Row],[日別区分実支出額]],tbl利用[[#This Row],[日別区分処理後基準額]]),0))</f>
        <v/>
      </c>
      <c r="BP13" s="45" t="str">
        <f>IF(tbl利用[[#This Row],[日別区分キー]]="","",tbl利用[[#This Row],[日別区分処理前補助額]]-tbl利用[[#This Row],[日別区分補助額]])</f>
        <v/>
      </c>
      <c r="BQ13" s="45" t="str">
        <f>IF(OR(tbl利用[[#This Row],[日別区分キー]]="",tbl利用[[#This Row],[処理後利用分数]]&lt;=0),"",ROUNDDOWN(MIN(tbl利用[[#This Row],[日別区分実支出額]],tbl利用[[#This Row],[日別区分処理後基準額]]-tbl利用[[#This Row],[基準単価]]/60),0))</f>
        <v/>
      </c>
      <c r="BR13" s="52" t="str">
        <f>IF(tbl利用[[#This Row],[次の1分切捨時補助額]]="","",tbl利用[[#This Row],[日別区分補助額]]-tbl利用[[#This Row],[次の1分切捨時補助額]])</f>
        <v/>
      </c>
      <c r="BS13" s="45" t="str">
        <f>IF(tbl利用[[#This Row],[日別区分キー]]="","",--(COUNTIF(INDEX(tbl利用[日別区分キー],1):tbl利用[[#This Row],[日別区分キー]],tbl利用[[#This Row],[日別区分キー]])=1))</f>
        <v/>
      </c>
      <c r="BT13" s="45" t="str">
        <f>IF(tbl利用[[#This Row],[利用区分]]="","",SUMIFS(tbl利用[利用分数],tbl利用[利用区分],tbl利用[[#This Row],[利用区分]]))</f>
        <v/>
      </c>
      <c r="BU13" s="45" t="str">
        <f>IF(tbl利用[[#This Row],[利用区分]]="","",MOD(tbl利用[[#This Row],[区分総利用分数]],60))</f>
        <v/>
      </c>
      <c r="BV13" s="45" t="str">
        <f>IF(tbl利用[[#This Row],[利用区分]]="","",SUMIFS(tbl利用[切捨分数],tbl利用[利用区分],tbl利用[[#This Row],[利用区分]]))</f>
        <v/>
      </c>
      <c r="BW13" s="45" t="str">
        <f>IF(tbl利用[[#This Row],[利用区分]]="","",IF(tbl利用[[#This Row],[区分必要切捨分数]]=tbl利用[[#This Row],[区分入力切捨合計]],"OK","要確認"))</f>
        <v/>
      </c>
      <c r="BX13"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13" s="46"/>
    </row>
    <row r="14" spans="1:77" s="1" customFormat="1" ht="28.5" customHeight="1" x14ac:dyDescent="0.4">
      <c r="A14" s="19">
        <v>7</v>
      </c>
      <c r="B14" s="75"/>
      <c r="C14" s="76"/>
      <c r="D14" s="76"/>
      <c r="E14" s="76"/>
      <c r="F14" s="74"/>
      <c r="G14" s="13"/>
      <c r="H14" s="22" t="s">
        <v>8</v>
      </c>
      <c r="I14" s="14"/>
      <c r="J14" s="22" t="s">
        <v>9</v>
      </c>
      <c r="K14" s="14"/>
      <c r="L14" s="22" t="s">
        <v>8</v>
      </c>
      <c r="M14" s="14"/>
      <c r="N14" s="2" t="str">
        <f t="shared" si="2"/>
        <v/>
      </c>
      <c r="O14" s="22" t="s">
        <v>10</v>
      </c>
      <c r="P14" s="22" t="str">
        <f t="shared" si="3"/>
        <v/>
      </c>
      <c r="Q14" s="3" t="s">
        <v>11</v>
      </c>
      <c r="R14" s="79"/>
      <c r="S14" s="80"/>
      <c r="T14" s="4" t="s">
        <v>12</v>
      </c>
      <c r="U14" s="79"/>
      <c r="V14" s="80"/>
      <c r="W14" s="4" t="s">
        <v>12</v>
      </c>
      <c r="X14" s="80"/>
      <c r="Y14" s="81"/>
      <c r="Z14" s="4" t="s">
        <v>12</v>
      </c>
      <c r="AA14" s="15"/>
      <c r="AB14" s="5" t="str">
        <f t="shared" si="4"/>
        <v/>
      </c>
      <c r="AC14" s="20" t="s">
        <v>8</v>
      </c>
      <c r="AD14" s="6" t="str">
        <f t="shared" si="16"/>
        <v/>
      </c>
      <c r="AE14" s="20" t="s">
        <v>9</v>
      </c>
      <c r="AF14" s="6" t="str">
        <f t="shared" si="5"/>
        <v/>
      </c>
      <c r="AG14" s="20" t="s">
        <v>8</v>
      </c>
      <c r="AH14" s="6" t="str">
        <f t="shared" si="6"/>
        <v/>
      </c>
      <c r="AI14" s="7" t="str">
        <f t="shared" si="7"/>
        <v/>
      </c>
      <c r="AJ14" s="20" t="s">
        <v>10</v>
      </c>
      <c r="AK14" s="8" t="str">
        <f t="shared" si="8"/>
        <v/>
      </c>
      <c r="AL14" s="9" t="s">
        <v>11</v>
      </c>
      <c r="AM14" s="7" t="str">
        <f t="shared" si="9"/>
        <v/>
      </c>
      <c r="AN14" s="20" t="s">
        <v>10</v>
      </c>
      <c r="AO14" s="8" t="str">
        <f t="shared" si="10"/>
        <v/>
      </c>
      <c r="AP14" s="10" t="s">
        <v>11</v>
      </c>
      <c r="AQ14" s="15" t="str" cm="1">
        <f t="array" ref="AQ14">IF(tbl利用[[#This Row],[利用日]]="","",ROW()-ROW(tbl利用[#Headers]))</f>
        <v/>
      </c>
      <c r="AR14" s="32" t="str">
        <f t="shared" si="11"/>
        <v/>
      </c>
      <c r="AS14" s="15"/>
      <c r="AT14" s="43" t="str">
        <f t="shared" si="12"/>
        <v/>
      </c>
      <c r="AU14" s="1" t="str">
        <f t="shared" si="13"/>
        <v/>
      </c>
      <c r="AV14" s="1" t="str">
        <f t="shared" si="14"/>
        <v/>
      </c>
      <c r="AW14" s="1" t="str">
        <f>IF(tbl利用[[#This Row],[利用日]]="","",N(tbl利用[[#This Row],[利用時間_時]])*60+N(tbl利用[[#This Row],[利用時間_分]]))</f>
        <v/>
      </c>
      <c r="AX14" s="44" t="str">
        <f t="shared" si="15"/>
        <v/>
      </c>
      <c r="AY14" s="44" t="str">
        <f t="shared" si="1"/>
        <v/>
      </c>
      <c r="AZ14" s="45" t="str">
        <f>IF(tbl利用[[#This Row],[利用日]]="","",MAX(0,N(tbl利用[[#This Row],[割引前利用額]])-N(tbl利用[[#This Row],[割引額]])))</f>
        <v/>
      </c>
      <c r="BA14" s="45" t="str">
        <f>IF(OR(tbl利用[[#This Row],[利用日]]="",tbl利用[[#This Row],[利用分数]]&lt;=0),"",N(tbl利用[[#This Row],[割引前利用額]])/tbl利用[[#This Row],[利用分数]]*60)</f>
        <v/>
      </c>
      <c r="BB14" s="45" t="str">
        <f>IF(tbl利用[[#This Row],[利用区分]]="","",_xlfn.XLOOKUP(tbl利用[[#This Row],[利用区分]],$AQ$4:$AQ$5,$AR$4:$AR$5,"区分未登録"))</f>
        <v/>
      </c>
      <c r="BC14" s="45" t="str">
        <f>IF(OR(tbl利用[[#This Row],[通常時間単価]]="",NOT(ISNUMBER(tbl利用[[#This Row],[上限単価]]))),"",MIN(tbl利用[[#This Row],[通常時間単価]],tbl利用[[#This Row],[上限単価]]))</f>
        <v/>
      </c>
      <c r="BD14" s="45" t="str">
        <f>IF(tbl利用[[#This Row],[利用日]]="","",tbl利用[[#This Row],[利用分数]]/60*tbl利用[[#This Row],[基準単価]])</f>
        <v/>
      </c>
      <c r="BE14" s="45" t="str">
        <f>IF(OR(tbl利用[[#This Row],[利用日]]="",tbl利用[[#This Row],[利用区分]]=""),"",TEXT(tbl利用[[#This Row],[利用日]],"yyyymmdd")&amp;"|"&amp;tbl利用[[#This Row],[利用区分]])</f>
        <v/>
      </c>
      <c r="BF14" s="45" t="str">
        <f>IF(tbl利用[[#This Row],[日別区分キー]]="","",SUMIFS(tbl利用[明細実支出額],tbl利用[日別区分キー],tbl利用[[#This Row],[日別区分キー]]))</f>
        <v/>
      </c>
      <c r="BG14" s="45" t="str">
        <f>IF(tbl利用[[#This Row],[日別区分キー]]="","",SUMIFS(tbl利用[処理前明細基準額],tbl利用[日別区分キー],tbl利用[[#This Row],[日別区分キー]]))</f>
        <v/>
      </c>
      <c r="BH14" s="45" t="str">
        <f>IF(tbl利用[[#This Row],[日別区分キー]]="","",ROUNDDOWN(MIN(tbl利用[[#This Row],[日別区分実支出額]],tbl利用[[#This Row],[日別区分処理前基準額]]),0))</f>
        <v/>
      </c>
      <c r="BI14" s="45" t="str">
        <f>IF(tbl利用[[#This Row],[日別区分キー]]="","",MAX(0,tbl利用[[#This Row],[日別区分処理前基準額]]-tbl利用[[#This Row],[日別区分実支出額]]))</f>
        <v/>
      </c>
      <c r="BJ14" s="45">
        <f>IF(OR(tbl利用[[#This Row],[利用日]]="",tbl利用[[#This Row],[基準単価]]&lt;=0),0,MIN(tbl利用[[#This Row],[利用分数]],ROUNDDOWN(tbl利用[[#This Row],[日別区分余裕額]]/(tbl利用[[#This Row],[基準単価]]/60),0)))</f>
        <v>0</v>
      </c>
      <c r="BK14" s="50"/>
      <c r="BL14" s="45" t="str">
        <f>IF(tbl利用[[#This Row],[利用日]]="","",MAX(0,tbl利用[[#This Row],[利用分数]]-N(tbl利用[[#This Row],[切捨分数]])))</f>
        <v/>
      </c>
      <c r="BM14" s="45" t="str">
        <f>IF(tbl利用[[#This Row],[利用日]]="","",tbl利用[[#This Row],[処理後利用分数]]/60*tbl利用[[#This Row],[基準単価]])</f>
        <v/>
      </c>
      <c r="BN14" s="45" t="str">
        <f>IF(tbl利用[[#This Row],[日別区分キー]]="","",SUMIFS(tbl利用[処理後明細基準額],tbl利用[日別区分キー],tbl利用[[#This Row],[日別区分キー]]))</f>
        <v/>
      </c>
      <c r="BO14" s="45" t="str">
        <f>IF(tbl利用[[#This Row],[日別区分キー]]="","",ROUNDDOWN(MIN(tbl利用[[#This Row],[日別区分実支出額]],tbl利用[[#This Row],[日別区分処理後基準額]]),0))</f>
        <v/>
      </c>
      <c r="BP14" s="45" t="str">
        <f>IF(tbl利用[[#This Row],[日別区分キー]]="","",tbl利用[[#This Row],[日別区分処理前補助額]]-tbl利用[[#This Row],[日別区分補助額]])</f>
        <v/>
      </c>
      <c r="BQ14" s="45" t="str">
        <f>IF(OR(tbl利用[[#This Row],[日別区分キー]]="",tbl利用[[#This Row],[処理後利用分数]]&lt;=0),"",ROUNDDOWN(MIN(tbl利用[[#This Row],[日別区分実支出額]],tbl利用[[#This Row],[日別区分処理後基準額]]-tbl利用[[#This Row],[基準単価]]/60),0))</f>
        <v/>
      </c>
      <c r="BR14" s="52" t="str">
        <f>IF(tbl利用[[#This Row],[次の1分切捨時補助額]]="","",tbl利用[[#This Row],[日別区分補助額]]-tbl利用[[#This Row],[次の1分切捨時補助額]])</f>
        <v/>
      </c>
      <c r="BS14" s="45" t="str">
        <f>IF(tbl利用[[#This Row],[日別区分キー]]="","",--(COUNTIF(INDEX(tbl利用[日別区分キー],1):tbl利用[[#This Row],[日別区分キー]],tbl利用[[#This Row],[日別区分キー]])=1))</f>
        <v/>
      </c>
      <c r="BT14" s="45" t="str">
        <f>IF(tbl利用[[#This Row],[利用区分]]="","",SUMIFS(tbl利用[利用分数],tbl利用[利用区分],tbl利用[[#This Row],[利用区分]]))</f>
        <v/>
      </c>
      <c r="BU14" s="45" t="str">
        <f>IF(tbl利用[[#This Row],[利用区分]]="","",MOD(tbl利用[[#This Row],[区分総利用分数]],60))</f>
        <v/>
      </c>
      <c r="BV14" s="45" t="str">
        <f>IF(tbl利用[[#This Row],[利用区分]]="","",SUMIFS(tbl利用[切捨分数],tbl利用[利用区分],tbl利用[[#This Row],[利用区分]]))</f>
        <v/>
      </c>
      <c r="BW14" s="45" t="str">
        <f>IF(tbl利用[[#This Row],[利用区分]]="","",IF(tbl利用[[#This Row],[区分必要切捨分数]]=tbl利用[[#This Row],[区分入力切捨合計]],"OK","要確認"))</f>
        <v/>
      </c>
      <c r="BX14"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14" s="46"/>
    </row>
    <row r="15" spans="1:77" s="1" customFormat="1" ht="28.5" customHeight="1" x14ac:dyDescent="0.4">
      <c r="A15" s="19">
        <v>8</v>
      </c>
      <c r="B15" s="75"/>
      <c r="C15" s="76"/>
      <c r="D15" s="76"/>
      <c r="E15" s="76"/>
      <c r="F15" s="74"/>
      <c r="G15" s="13"/>
      <c r="H15" s="22" t="s">
        <v>8</v>
      </c>
      <c r="I15" s="14"/>
      <c r="J15" s="22" t="s">
        <v>9</v>
      </c>
      <c r="K15" s="14"/>
      <c r="L15" s="22" t="s">
        <v>8</v>
      </c>
      <c r="M15" s="14"/>
      <c r="N15" s="2" t="str">
        <f t="shared" si="2"/>
        <v/>
      </c>
      <c r="O15" s="22" t="s">
        <v>10</v>
      </c>
      <c r="P15" s="22" t="str">
        <f t="shared" si="3"/>
        <v/>
      </c>
      <c r="Q15" s="3" t="s">
        <v>11</v>
      </c>
      <c r="R15" s="79"/>
      <c r="S15" s="80"/>
      <c r="T15" s="4" t="s">
        <v>12</v>
      </c>
      <c r="U15" s="79"/>
      <c r="V15" s="80"/>
      <c r="W15" s="4" t="s">
        <v>12</v>
      </c>
      <c r="X15" s="80"/>
      <c r="Y15" s="81"/>
      <c r="Z15" s="4" t="s">
        <v>12</v>
      </c>
      <c r="AA15" s="15"/>
      <c r="AB15" s="5" t="str">
        <f t="shared" si="4"/>
        <v/>
      </c>
      <c r="AC15" s="20" t="s">
        <v>8</v>
      </c>
      <c r="AD15" s="6" t="str">
        <f t="shared" si="16"/>
        <v/>
      </c>
      <c r="AE15" s="20" t="s">
        <v>9</v>
      </c>
      <c r="AF15" s="6" t="str">
        <f t="shared" si="5"/>
        <v/>
      </c>
      <c r="AG15" s="20" t="s">
        <v>8</v>
      </c>
      <c r="AH15" s="6" t="str">
        <f t="shared" si="6"/>
        <v/>
      </c>
      <c r="AI15" s="7" t="str">
        <f t="shared" si="7"/>
        <v/>
      </c>
      <c r="AJ15" s="20" t="s">
        <v>10</v>
      </c>
      <c r="AK15" s="8" t="str">
        <f t="shared" si="8"/>
        <v/>
      </c>
      <c r="AL15" s="9" t="s">
        <v>11</v>
      </c>
      <c r="AM15" s="7" t="str">
        <f t="shared" si="9"/>
        <v/>
      </c>
      <c r="AN15" s="20" t="s">
        <v>10</v>
      </c>
      <c r="AO15" s="8" t="str">
        <f t="shared" si="10"/>
        <v/>
      </c>
      <c r="AP15" s="10" t="s">
        <v>11</v>
      </c>
      <c r="AQ15" s="15" t="str" cm="1">
        <f t="array" ref="AQ15">IF(tbl利用[[#This Row],[利用日]]="","",ROW()-ROW(tbl利用[#Headers]))</f>
        <v/>
      </c>
      <c r="AR15" s="32" t="str">
        <f t="shared" si="11"/>
        <v/>
      </c>
      <c r="AS15" s="15"/>
      <c r="AT15" s="43" t="str">
        <f t="shared" si="12"/>
        <v/>
      </c>
      <c r="AU15" s="1" t="str">
        <f t="shared" si="13"/>
        <v/>
      </c>
      <c r="AV15" s="1" t="str">
        <f t="shared" si="14"/>
        <v/>
      </c>
      <c r="AW15" s="1" t="str">
        <f>IF(tbl利用[[#This Row],[利用日]]="","",N(tbl利用[[#This Row],[利用時間_時]])*60+N(tbl利用[[#This Row],[利用時間_分]]))</f>
        <v/>
      </c>
      <c r="AX15" s="44" t="str">
        <f t="shared" si="15"/>
        <v/>
      </c>
      <c r="AY15" s="44" t="str">
        <f t="shared" si="1"/>
        <v/>
      </c>
      <c r="AZ15" s="45" t="str">
        <f>IF(tbl利用[[#This Row],[利用日]]="","",MAX(0,N(tbl利用[[#This Row],[割引前利用額]])-N(tbl利用[[#This Row],[割引額]])))</f>
        <v/>
      </c>
      <c r="BA15" s="45" t="str">
        <f>IF(OR(tbl利用[[#This Row],[利用日]]="",tbl利用[[#This Row],[利用分数]]&lt;=0),"",N(tbl利用[[#This Row],[割引前利用額]])/tbl利用[[#This Row],[利用分数]]*60)</f>
        <v/>
      </c>
      <c r="BB15" s="45" t="str">
        <f>IF(tbl利用[[#This Row],[利用区分]]="","",_xlfn.XLOOKUP(tbl利用[[#This Row],[利用区分]],$AQ$4:$AQ$5,$AR$4:$AR$5,"区分未登録"))</f>
        <v/>
      </c>
      <c r="BC15" s="45" t="str">
        <f>IF(OR(tbl利用[[#This Row],[通常時間単価]]="",NOT(ISNUMBER(tbl利用[[#This Row],[上限単価]]))),"",MIN(tbl利用[[#This Row],[通常時間単価]],tbl利用[[#This Row],[上限単価]]))</f>
        <v/>
      </c>
      <c r="BD15" s="45" t="str">
        <f>IF(tbl利用[[#This Row],[利用日]]="","",tbl利用[[#This Row],[利用分数]]/60*tbl利用[[#This Row],[基準単価]])</f>
        <v/>
      </c>
      <c r="BE15" s="45" t="str">
        <f>IF(OR(tbl利用[[#This Row],[利用日]]="",tbl利用[[#This Row],[利用区分]]=""),"",TEXT(tbl利用[[#This Row],[利用日]],"yyyymmdd")&amp;"|"&amp;tbl利用[[#This Row],[利用区分]])</f>
        <v/>
      </c>
      <c r="BF15" s="45" t="str">
        <f>IF(tbl利用[[#This Row],[日別区分キー]]="","",SUMIFS(tbl利用[明細実支出額],tbl利用[日別区分キー],tbl利用[[#This Row],[日別区分キー]]))</f>
        <v/>
      </c>
      <c r="BG15" s="45" t="str">
        <f>IF(tbl利用[[#This Row],[日別区分キー]]="","",SUMIFS(tbl利用[処理前明細基準額],tbl利用[日別区分キー],tbl利用[[#This Row],[日別区分キー]]))</f>
        <v/>
      </c>
      <c r="BH15" s="45" t="str">
        <f>IF(tbl利用[[#This Row],[日別区分キー]]="","",ROUNDDOWN(MIN(tbl利用[[#This Row],[日別区分実支出額]],tbl利用[[#This Row],[日別区分処理前基準額]]),0))</f>
        <v/>
      </c>
      <c r="BI15" s="45" t="str">
        <f>IF(tbl利用[[#This Row],[日別区分キー]]="","",MAX(0,tbl利用[[#This Row],[日別区分処理前基準額]]-tbl利用[[#This Row],[日別区分実支出額]]))</f>
        <v/>
      </c>
      <c r="BJ15" s="45">
        <f>IF(OR(tbl利用[[#This Row],[利用日]]="",tbl利用[[#This Row],[基準単価]]&lt;=0),0,MIN(tbl利用[[#This Row],[利用分数]],ROUNDDOWN(tbl利用[[#This Row],[日別区分余裕額]]/(tbl利用[[#This Row],[基準単価]]/60),0)))</f>
        <v>0</v>
      </c>
      <c r="BK15" s="50"/>
      <c r="BL15" s="45" t="str">
        <f>IF(tbl利用[[#This Row],[利用日]]="","",MAX(0,tbl利用[[#This Row],[利用分数]]-N(tbl利用[[#This Row],[切捨分数]])))</f>
        <v/>
      </c>
      <c r="BM15" s="45" t="str">
        <f>IF(tbl利用[[#This Row],[利用日]]="","",tbl利用[[#This Row],[処理後利用分数]]/60*tbl利用[[#This Row],[基準単価]])</f>
        <v/>
      </c>
      <c r="BN15" s="45" t="str">
        <f>IF(tbl利用[[#This Row],[日別区分キー]]="","",SUMIFS(tbl利用[処理後明細基準額],tbl利用[日別区分キー],tbl利用[[#This Row],[日別区分キー]]))</f>
        <v/>
      </c>
      <c r="BO15" s="45" t="str">
        <f>IF(tbl利用[[#This Row],[日別区分キー]]="","",ROUNDDOWN(MIN(tbl利用[[#This Row],[日別区分実支出額]],tbl利用[[#This Row],[日別区分処理後基準額]]),0))</f>
        <v/>
      </c>
      <c r="BP15" s="45" t="str">
        <f>IF(tbl利用[[#This Row],[日別区分キー]]="","",tbl利用[[#This Row],[日別区分処理前補助額]]-tbl利用[[#This Row],[日別区分補助額]])</f>
        <v/>
      </c>
      <c r="BQ15" s="45" t="str">
        <f>IF(OR(tbl利用[[#This Row],[日別区分キー]]="",tbl利用[[#This Row],[処理後利用分数]]&lt;=0),"",ROUNDDOWN(MIN(tbl利用[[#This Row],[日別区分実支出額]],tbl利用[[#This Row],[日別区分処理後基準額]]-tbl利用[[#This Row],[基準単価]]/60),0))</f>
        <v/>
      </c>
      <c r="BR15" s="52" t="str">
        <f>IF(tbl利用[[#This Row],[次の1分切捨時補助額]]="","",tbl利用[[#This Row],[日別区分補助額]]-tbl利用[[#This Row],[次の1分切捨時補助額]])</f>
        <v/>
      </c>
      <c r="BS15" s="45" t="str">
        <f>IF(tbl利用[[#This Row],[日別区分キー]]="","",--(COUNTIF(INDEX(tbl利用[日別区分キー],1):tbl利用[[#This Row],[日別区分キー]],tbl利用[[#This Row],[日別区分キー]])=1))</f>
        <v/>
      </c>
      <c r="BT15" s="45" t="str">
        <f>IF(tbl利用[[#This Row],[利用区分]]="","",SUMIFS(tbl利用[利用分数],tbl利用[利用区分],tbl利用[[#This Row],[利用区分]]))</f>
        <v/>
      </c>
      <c r="BU15" s="45" t="str">
        <f>IF(tbl利用[[#This Row],[利用区分]]="","",MOD(tbl利用[[#This Row],[区分総利用分数]],60))</f>
        <v/>
      </c>
      <c r="BV15" s="45" t="str">
        <f>IF(tbl利用[[#This Row],[利用区分]]="","",SUMIFS(tbl利用[切捨分数],tbl利用[利用区分],tbl利用[[#This Row],[利用区分]]))</f>
        <v/>
      </c>
      <c r="BW15" s="45" t="str">
        <f>IF(tbl利用[[#This Row],[利用区分]]="","",IF(tbl利用[[#This Row],[区分必要切捨分数]]=tbl利用[[#This Row],[区分入力切捨合計]],"OK","要確認"))</f>
        <v/>
      </c>
      <c r="BX15"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15" s="46"/>
    </row>
    <row r="16" spans="1:77" s="1" customFormat="1" ht="28.5" customHeight="1" x14ac:dyDescent="0.4">
      <c r="A16" s="19">
        <v>9</v>
      </c>
      <c r="B16" s="75"/>
      <c r="C16" s="76"/>
      <c r="D16" s="76"/>
      <c r="E16" s="76"/>
      <c r="F16" s="74"/>
      <c r="G16" s="13"/>
      <c r="H16" s="22" t="s">
        <v>8</v>
      </c>
      <c r="I16" s="14"/>
      <c r="J16" s="22" t="s">
        <v>9</v>
      </c>
      <c r="K16" s="14"/>
      <c r="L16" s="22" t="s">
        <v>8</v>
      </c>
      <c r="M16" s="14"/>
      <c r="N16" s="2" t="str">
        <f t="shared" si="2"/>
        <v/>
      </c>
      <c r="O16" s="22" t="s">
        <v>10</v>
      </c>
      <c r="P16" s="22" t="str">
        <f t="shared" si="3"/>
        <v/>
      </c>
      <c r="Q16" s="3" t="s">
        <v>11</v>
      </c>
      <c r="R16" s="79"/>
      <c r="S16" s="80"/>
      <c r="T16" s="4" t="s">
        <v>12</v>
      </c>
      <c r="U16" s="79"/>
      <c r="V16" s="80"/>
      <c r="W16" s="4" t="s">
        <v>12</v>
      </c>
      <c r="X16" s="80"/>
      <c r="Y16" s="81"/>
      <c r="Z16" s="4" t="s">
        <v>12</v>
      </c>
      <c r="AA16" s="15"/>
      <c r="AB16" s="5" t="str">
        <f t="shared" si="4"/>
        <v/>
      </c>
      <c r="AC16" s="20" t="s">
        <v>8</v>
      </c>
      <c r="AD16" s="6" t="str">
        <f t="shared" si="16"/>
        <v/>
      </c>
      <c r="AE16" s="20" t="s">
        <v>9</v>
      </c>
      <c r="AF16" s="6" t="str">
        <f t="shared" si="5"/>
        <v/>
      </c>
      <c r="AG16" s="20" t="s">
        <v>8</v>
      </c>
      <c r="AH16" s="6" t="str">
        <f t="shared" si="6"/>
        <v/>
      </c>
      <c r="AI16" s="7" t="str">
        <f t="shared" si="7"/>
        <v/>
      </c>
      <c r="AJ16" s="20" t="s">
        <v>10</v>
      </c>
      <c r="AK16" s="8" t="str">
        <f t="shared" si="8"/>
        <v/>
      </c>
      <c r="AL16" s="9" t="s">
        <v>11</v>
      </c>
      <c r="AM16" s="7" t="str">
        <f t="shared" si="9"/>
        <v/>
      </c>
      <c r="AN16" s="20" t="s">
        <v>10</v>
      </c>
      <c r="AO16" s="8" t="str">
        <f t="shared" si="10"/>
        <v/>
      </c>
      <c r="AP16" s="10" t="s">
        <v>11</v>
      </c>
      <c r="AQ16" s="15" t="str" cm="1">
        <f t="array" ref="AQ16">IF(tbl利用[[#This Row],[利用日]]="","",ROW()-ROW(tbl利用[#Headers]))</f>
        <v/>
      </c>
      <c r="AR16" s="32" t="str">
        <f t="shared" si="11"/>
        <v/>
      </c>
      <c r="AS16" s="15"/>
      <c r="AT16" s="43" t="str">
        <f t="shared" si="12"/>
        <v/>
      </c>
      <c r="AU16" s="1" t="str">
        <f t="shared" si="13"/>
        <v/>
      </c>
      <c r="AV16" s="1" t="str">
        <f t="shared" si="14"/>
        <v/>
      </c>
      <c r="AW16" s="1" t="str">
        <f>IF(tbl利用[[#This Row],[利用日]]="","",N(tbl利用[[#This Row],[利用時間_時]])*60+N(tbl利用[[#This Row],[利用時間_分]]))</f>
        <v/>
      </c>
      <c r="AX16" s="44" t="str">
        <f t="shared" si="15"/>
        <v/>
      </c>
      <c r="AY16" s="44" t="str">
        <f t="shared" si="1"/>
        <v/>
      </c>
      <c r="AZ16" s="45" t="str">
        <f>IF(tbl利用[[#This Row],[利用日]]="","",MAX(0,N(tbl利用[[#This Row],[割引前利用額]])-N(tbl利用[[#This Row],[割引額]])))</f>
        <v/>
      </c>
      <c r="BA16" s="45" t="str">
        <f>IF(OR(tbl利用[[#This Row],[利用日]]="",tbl利用[[#This Row],[利用分数]]&lt;=0),"",N(tbl利用[[#This Row],[割引前利用額]])/tbl利用[[#This Row],[利用分数]]*60)</f>
        <v/>
      </c>
      <c r="BB16" s="45" t="str">
        <f>IF(tbl利用[[#This Row],[利用区分]]="","",_xlfn.XLOOKUP(tbl利用[[#This Row],[利用区分]],$AQ$4:$AQ$5,$AR$4:$AR$5,"区分未登録"))</f>
        <v/>
      </c>
      <c r="BC16" s="45" t="str">
        <f>IF(OR(tbl利用[[#This Row],[通常時間単価]]="",NOT(ISNUMBER(tbl利用[[#This Row],[上限単価]]))),"",MIN(tbl利用[[#This Row],[通常時間単価]],tbl利用[[#This Row],[上限単価]]))</f>
        <v/>
      </c>
      <c r="BD16" s="45" t="str">
        <f>IF(tbl利用[[#This Row],[利用日]]="","",tbl利用[[#This Row],[利用分数]]/60*tbl利用[[#This Row],[基準単価]])</f>
        <v/>
      </c>
      <c r="BE16" s="45" t="str">
        <f>IF(OR(tbl利用[[#This Row],[利用日]]="",tbl利用[[#This Row],[利用区分]]=""),"",TEXT(tbl利用[[#This Row],[利用日]],"yyyymmdd")&amp;"|"&amp;tbl利用[[#This Row],[利用区分]])</f>
        <v/>
      </c>
      <c r="BF16" s="45" t="str">
        <f>IF(tbl利用[[#This Row],[日別区分キー]]="","",SUMIFS(tbl利用[明細実支出額],tbl利用[日別区分キー],tbl利用[[#This Row],[日別区分キー]]))</f>
        <v/>
      </c>
      <c r="BG16" s="45" t="str">
        <f>IF(tbl利用[[#This Row],[日別区分キー]]="","",SUMIFS(tbl利用[処理前明細基準額],tbl利用[日別区分キー],tbl利用[[#This Row],[日別区分キー]]))</f>
        <v/>
      </c>
      <c r="BH16" s="45" t="str">
        <f>IF(tbl利用[[#This Row],[日別区分キー]]="","",ROUNDDOWN(MIN(tbl利用[[#This Row],[日別区分実支出額]],tbl利用[[#This Row],[日別区分処理前基準額]]),0))</f>
        <v/>
      </c>
      <c r="BI16" s="45" t="str">
        <f>IF(tbl利用[[#This Row],[日別区分キー]]="","",MAX(0,tbl利用[[#This Row],[日別区分処理前基準額]]-tbl利用[[#This Row],[日別区分実支出額]]))</f>
        <v/>
      </c>
      <c r="BJ16" s="45">
        <f>IF(OR(tbl利用[[#This Row],[利用日]]="",tbl利用[[#This Row],[基準単価]]&lt;=0),0,MIN(tbl利用[[#This Row],[利用分数]],ROUNDDOWN(tbl利用[[#This Row],[日別区分余裕額]]/(tbl利用[[#This Row],[基準単価]]/60),0)))</f>
        <v>0</v>
      </c>
      <c r="BK16" s="50"/>
      <c r="BL16" s="45" t="str">
        <f>IF(tbl利用[[#This Row],[利用日]]="","",MAX(0,tbl利用[[#This Row],[利用分数]]-N(tbl利用[[#This Row],[切捨分数]])))</f>
        <v/>
      </c>
      <c r="BM16" s="45" t="str">
        <f>IF(tbl利用[[#This Row],[利用日]]="","",tbl利用[[#This Row],[処理後利用分数]]/60*tbl利用[[#This Row],[基準単価]])</f>
        <v/>
      </c>
      <c r="BN16" s="45" t="str">
        <f>IF(tbl利用[[#This Row],[日別区分キー]]="","",SUMIFS(tbl利用[処理後明細基準額],tbl利用[日別区分キー],tbl利用[[#This Row],[日別区分キー]]))</f>
        <v/>
      </c>
      <c r="BO16" s="45" t="str">
        <f>IF(tbl利用[[#This Row],[日別区分キー]]="","",ROUNDDOWN(MIN(tbl利用[[#This Row],[日別区分実支出額]],tbl利用[[#This Row],[日別区分処理後基準額]]),0))</f>
        <v/>
      </c>
      <c r="BP16" s="45" t="str">
        <f>IF(tbl利用[[#This Row],[日別区分キー]]="","",tbl利用[[#This Row],[日別区分処理前補助額]]-tbl利用[[#This Row],[日別区分補助額]])</f>
        <v/>
      </c>
      <c r="BQ16" s="45" t="str">
        <f>IF(OR(tbl利用[[#This Row],[日別区分キー]]="",tbl利用[[#This Row],[処理後利用分数]]&lt;=0),"",ROUNDDOWN(MIN(tbl利用[[#This Row],[日別区分実支出額]],tbl利用[[#This Row],[日別区分処理後基準額]]-tbl利用[[#This Row],[基準単価]]/60),0))</f>
        <v/>
      </c>
      <c r="BR16" s="52" t="str">
        <f>IF(tbl利用[[#This Row],[次の1分切捨時補助額]]="","",tbl利用[[#This Row],[日別区分補助額]]-tbl利用[[#This Row],[次の1分切捨時補助額]])</f>
        <v/>
      </c>
      <c r="BS16" s="45" t="str">
        <f>IF(tbl利用[[#This Row],[日別区分キー]]="","",--(COUNTIF(INDEX(tbl利用[日別区分キー],1):tbl利用[[#This Row],[日別区分キー]],tbl利用[[#This Row],[日別区分キー]])=1))</f>
        <v/>
      </c>
      <c r="BT16" s="45" t="str">
        <f>IF(tbl利用[[#This Row],[利用区分]]="","",SUMIFS(tbl利用[利用分数],tbl利用[利用区分],tbl利用[[#This Row],[利用区分]]))</f>
        <v/>
      </c>
      <c r="BU16" s="45" t="str">
        <f>IF(tbl利用[[#This Row],[利用区分]]="","",MOD(tbl利用[[#This Row],[区分総利用分数]],60))</f>
        <v/>
      </c>
      <c r="BV16" s="45" t="str">
        <f>IF(tbl利用[[#This Row],[利用区分]]="","",SUMIFS(tbl利用[切捨分数],tbl利用[利用区分],tbl利用[[#This Row],[利用区分]]))</f>
        <v/>
      </c>
      <c r="BW16" s="45" t="str">
        <f>IF(tbl利用[[#This Row],[利用区分]]="","",IF(tbl利用[[#This Row],[区分必要切捨分数]]=tbl利用[[#This Row],[区分入力切捨合計]],"OK","要確認"))</f>
        <v/>
      </c>
      <c r="BX16"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16" s="46"/>
    </row>
    <row r="17" spans="1:77" s="1" customFormat="1" ht="28.5" customHeight="1" x14ac:dyDescent="0.4">
      <c r="A17" s="19">
        <v>10</v>
      </c>
      <c r="B17" s="75"/>
      <c r="C17" s="76"/>
      <c r="D17" s="76"/>
      <c r="E17" s="76"/>
      <c r="F17" s="74"/>
      <c r="G17" s="13"/>
      <c r="H17" s="22" t="s">
        <v>8</v>
      </c>
      <c r="I17" s="14"/>
      <c r="J17" s="22" t="s">
        <v>9</v>
      </c>
      <c r="K17" s="14"/>
      <c r="L17" s="22" t="s">
        <v>8</v>
      </c>
      <c r="M17" s="14"/>
      <c r="N17" s="2" t="str">
        <f t="shared" si="2"/>
        <v/>
      </c>
      <c r="O17" s="22" t="s">
        <v>10</v>
      </c>
      <c r="P17" s="22" t="str">
        <f t="shared" si="3"/>
        <v/>
      </c>
      <c r="Q17" s="3" t="s">
        <v>11</v>
      </c>
      <c r="R17" s="79"/>
      <c r="S17" s="80"/>
      <c r="T17" s="4" t="s">
        <v>12</v>
      </c>
      <c r="U17" s="79"/>
      <c r="V17" s="80"/>
      <c r="W17" s="4" t="s">
        <v>12</v>
      </c>
      <c r="X17" s="80"/>
      <c r="Y17" s="81"/>
      <c r="Z17" s="4" t="s">
        <v>12</v>
      </c>
      <c r="AA17" s="15"/>
      <c r="AB17" s="5" t="str">
        <f t="shared" si="4"/>
        <v/>
      </c>
      <c r="AC17" s="20" t="s">
        <v>8</v>
      </c>
      <c r="AD17" s="6" t="str">
        <f t="shared" si="16"/>
        <v/>
      </c>
      <c r="AE17" s="20" t="s">
        <v>9</v>
      </c>
      <c r="AF17" s="6" t="str">
        <f t="shared" si="5"/>
        <v/>
      </c>
      <c r="AG17" s="20" t="s">
        <v>8</v>
      </c>
      <c r="AH17" s="6" t="str">
        <f t="shared" si="6"/>
        <v/>
      </c>
      <c r="AI17" s="7" t="str">
        <f t="shared" si="7"/>
        <v/>
      </c>
      <c r="AJ17" s="20" t="s">
        <v>10</v>
      </c>
      <c r="AK17" s="8" t="str">
        <f t="shared" si="8"/>
        <v/>
      </c>
      <c r="AL17" s="9" t="s">
        <v>11</v>
      </c>
      <c r="AM17" s="7" t="str">
        <f t="shared" si="9"/>
        <v/>
      </c>
      <c r="AN17" s="20" t="s">
        <v>10</v>
      </c>
      <c r="AO17" s="8" t="str">
        <f t="shared" si="10"/>
        <v/>
      </c>
      <c r="AP17" s="10" t="s">
        <v>11</v>
      </c>
      <c r="AQ17" s="15" t="str" cm="1">
        <f t="array" ref="AQ17">IF(tbl利用[[#This Row],[利用日]]="","",ROW()-ROW(tbl利用[#Headers]))</f>
        <v/>
      </c>
      <c r="AR17" s="32" t="str">
        <f t="shared" si="11"/>
        <v/>
      </c>
      <c r="AS17" s="15"/>
      <c r="AT17" s="43" t="str">
        <f t="shared" si="12"/>
        <v/>
      </c>
      <c r="AU17" s="1" t="str">
        <f t="shared" si="13"/>
        <v/>
      </c>
      <c r="AV17" s="1" t="str">
        <f t="shared" si="14"/>
        <v/>
      </c>
      <c r="AW17" s="1" t="str">
        <f>IF(tbl利用[[#This Row],[利用日]]="","",N(tbl利用[[#This Row],[利用時間_時]])*60+N(tbl利用[[#This Row],[利用時間_分]]))</f>
        <v/>
      </c>
      <c r="AX17" s="44" t="str">
        <f t="shared" si="15"/>
        <v/>
      </c>
      <c r="AY17" s="44" t="str">
        <f t="shared" si="1"/>
        <v/>
      </c>
      <c r="AZ17" s="45" t="str">
        <f>IF(tbl利用[[#This Row],[利用日]]="","",MAX(0,N(tbl利用[[#This Row],[割引前利用額]])-N(tbl利用[[#This Row],[割引額]])))</f>
        <v/>
      </c>
      <c r="BA17" s="45" t="str">
        <f>IF(OR(tbl利用[[#This Row],[利用日]]="",tbl利用[[#This Row],[利用分数]]&lt;=0),"",N(tbl利用[[#This Row],[割引前利用額]])/tbl利用[[#This Row],[利用分数]]*60)</f>
        <v/>
      </c>
      <c r="BB17" s="45" t="str">
        <f>IF(tbl利用[[#This Row],[利用区分]]="","",_xlfn.XLOOKUP(tbl利用[[#This Row],[利用区分]],$AQ$4:$AQ$5,$AR$4:$AR$5,"区分未登録"))</f>
        <v/>
      </c>
      <c r="BC17" s="45" t="str">
        <f>IF(OR(tbl利用[[#This Row],[通常時間単価]]="",NOT(ISNUMBER(tbl利用[[#This Row],[上限単価]]))),"",MIN(tbl利用[[#This Row],[通常時間単価]],tbl利用[[#This Row],[上限単価]]))</f>
        <v/>
      </c>
      <c r="BD17" s="45" t="str">
        <f>IF(tbl利用[[#This Row],[利用日]]="","",tbl利用[[#This Row],[利用分数]]/60*tbl利用[[#This Row],[基準単価]])</f>
        <v/>
      </c>
      <c r="BE17" s="45" t="str">
        <f>IF(OR(tbl利用[[#This Row],[利用日]]="",tbl利用[[#This Row],[利用区分]]=""),"",TEXT(tbl利用[[#This Row],[利用日]],"yyyymmdd")&amp;"|"&amp;tbl利用[[#This Row],[利用区分]])</f>
        <v/>
      </c>
      <c r="BF17" s="45" t="str">
        <f>IF(tbl利用[[#This Row],[日別区分キー]]="","",SUMIFS(tbl利用[明細実支出額],tbl利用[日別区分キー],tbl利用[[#This Row],[日別区分キー]]))</f>
        <v/>
      </c>
      <c r="BG17" s="45" t="str">
        <f>IF(tbl利用[[#This Row],[日別区分キー]]="","",SUMIFS(tbl利用[処理前明細基準額],tbl利用[日別区分キー],tbl利用[[#This Row],[日別区分キー]]))</f>
        <v/>
      </c>
      <c r="BH17" s="45" t="str">
        <f>IF(tbl利用[[#This Row],[日別区分キー]]="","",ROUNDDOWN(MIN(tbl利用[[#This Row],[日別区分実支出額]],tbl利用[[#This Row],[日別区分処理前基準額]]),0))</f>
        <v/>
      </c>
      <c r="BI17" s="45" t="str">
        <f>IF(tbl利用[[#This Row],[日別区分キー]]="","",MAX(0,tbl利用[[#This Row],[日別区分処理前基準額]]-tbl利用[[#This Row],[日別区分実支出額]]))</f>
        <v/>
      </c>
      <c r="BJ17" s="45">
        <f>IF(OR(tbl利用[[#This Row],[利用日]]="",tbl利用[[#This Row],[基準単価]]&lt;=0),0,MIN(tbl利用[[#This Row],[利用分数]],ROUNDDOWN(tbl利用[[#This Row],[日別区分余裕額]]/(tbl利用[[#This Row],[基準単価]]/60),0)))</f>
        <v>0</v>
      </c>
      <c r="BK17" s="50"/>
      <c r="BL17" s="45" t="str">
        <f>IF(tbl利用[[#This Row],[利用日]]="","",MAX(0,tbl利用[[#This Row],[利用分数]]-N(tbl利用[[#This Row],[切捨分数]])))</f>
        <v/>
      </c>
      <c r="BM17" s="45" t="str">
        <f>IF(tbl利用[[#This Row],[利用日]]="","",tbl利用[[#This Row],[処理後利用分数]]/60*tbl利用[[#This Row],[基準単価]])</f>
        <v/>
      </c>
      <c r="BN17" s="45" t="str">
        <f>IF(tbl利用[[#This Row],[日別区分キー]]="","",SUMIFS(tbl利用[処理後明細基準額],tbl利用[日別区分キー],tbl利用[[#This Row],[日別区分キー]]))</f>
        <v/>
      </c>
      <c r="BO17" s="45" t="str">
        <f>IF(tbl利用[[#This Row],[日別区分キー]]="","",ROUNDDOWN(MIN(tbl利用[[#This Row],[日別区分実支出額]],tbl利用[[#This Row],[日別区分処理後基準額]]),0))</f>
        <v/>
      </c>
      <c r="BP17" s="45" t="str">
        <f>IF(tbl利用[[#This Row],[日別区分キー]]="","",tbl利用[[#This Row],[日別区分処理前補助額]]-tbl利用[[#This Row],[日別区分補助額]])</f>
        <v/>
      </c>
      <c r="BQ17" s="45" t="str">
        <f>IF(OR(tbl利用[[#This Row],[日別区分キー]]="",tbl利用[[#This Row],[処理後利用分数]]&lt;=0),"",ROUNDDOWN(MIN(tbl利用[[#This Row],[日別区分実支出額]],tbl利用[[#This Row],[日別区分処理後基準額]]-tbl利用[[#This Row],[基準単価]]/60),0))</f>
        <v/>
      </c>
      <c r="BR17" s="52" t="str">
        <f>IF(tbl利用[[#This Row],[次の1分切捨時補助額]]="","",tbl利用[[#This Row],[日別区分補助額]]-tbl利用[[#This Row],[次の1分切捨時補助額]])</f>
        <v/>
      </c>
      <c r="BS17" s="45" t="str">
        <f>IF(tbl利用[[#This Row],[日別区分キー]]="","",--(COUNTIF(INDEX(tbl利用[日別区分キー],1):tbl利用[[#This Row],[日別区分キー]],tbl利用[[#This Row],[日別区分キー]])=1))</f>
        <v/>
      </c>
      <c r="BT17" s="45" t="str">
        <f>IF(tbl利用[[#This Row],[利用区分]]="","",SUMIFS(tbl利用[利用分数],tbl利用[利用区分],tbl利用[[#This Row],[利用区分]]))</f>
        <v/>
      </c>
      <c r="BU17" s="45" t="str">
        <f>IF(tbl利用[[#This Row],[利用区分]]="","",MOD(tbl利用[[#This Row],[区分総利用分数]],60))</f>
        <v/>
      </c>
      <c r="BV17" s="45" t="str">
        <f>IF(tbl利用[[#This Row],[利用区分]]="","",SUMIFS(tbl利用[切捨分数],tbl利用[利用区分],tbl利用[[#This Row],[利用区分]]))</f>
        <v/>
      </c>
      <c r="BW17" s="45" t="str">
        <f>IF(tbl利用[[#This Row],[利用区分]]="","",IF(tbl利用[[#This Row],[区分必要切捨分数]]=tbl利用[[#This Row],[区分入力切捨合計]],"OK","要確認"))</f>
        <v/>
      </c>
      <c r="BX17"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17" s="46"/>
    </row>
    <row r="18" spans="1:77" s="1" customFormat="1" ht="28.5" customHeight="1" x14ac:dyDescent="0.4">
      <c r="A18" s="19">
        <v>11</v>
      </c>
      <c r="B18" s="75"/>
      <c r="C18" s="76"/>
      <c r="D18" s="76"/>
      <c r="E18" s="76"/>
      <c r="F18" s="74"/>
      <c r="G18" s="13"/>
      <c r="H18" s="22" t="s">
        <v>8</v>
      </c>
      <c r="I18" s="14"/>
      <c r="J18" s="22" t="s">
        <v>9</v>
      </c>
      <c r="K18" s="14"/>
      <c r="L18" s="22" t="s">
        <v>8</v>
      </c>
      <c r="M18" s="14"/>
      <c r="N18" s="2" t="str">
        <f t="shared" si="2"/>
        <v/>
      </c>
      <c r="O18" s="22" t="s">
        <v>10</v>
      </c>
      <c r="P18" s="22" t="str">
        <f t="shared" si="3"/>
        <v/>
      </c>
      <c r="Q18" s="3" t="s">
        <v>11</v>
      </c>
      <c r="R18" s="79"/>
      <c r="S18" s="80"/>
      <c r="T18" s="4" t="s">
        <v>12</v>
      </c>
      <c r="U18" s="79"/>
      <c r="V18" s="80"/>
      <c r="W18" s="4" t="s">
        <v>12</v>
      </c>
      <c r="X18" s="80"/>
      <c r="Y18" s="81"/>
      <c r="Z18" s="4" t="s">
        <v>12</v>
      </c>
      <c r="AA18" s="15"/>
      <c r="AB18" s="5" t="str">
        <f t="shared" si="4"/>
        <v/>
      </c>
      <c r="AC18" s="20" t="s">
        <v>8</v>
      </c>
      <c r="AD18" s="6" t="str">
        <f t="shared" si="16"/>
        <v/>
      </c>
      <c r="AE18" s="20" t="s">
        <v>9</v>
      </c>
      <c r="AF18" s="6" t="str">
        <f t="shared" si="5"/>
        <v/>
      </c>
      <c r="AG18" s="20" t="s">
        <v>8</v>
      </c>
      <c r="AH18" s="6" t="str">
        <f t="shared" si="6"/>
        <v/>
      </c>
      <c r="AI18" s="7" t="str">
        <f t="shared" si="7"/>
        <v/>
      </c>
      <c r="AJ18" s="20" t="s">
        <v>10</v>
      </c>
      <c r="AK18" s="8" t="str">
        <f t="shared" si="8"/>
        <v/>
      </c>
      <c r="AL18" s="9" t="s">
        <v>11</v>
      </c>
      <c r="AM18" s="7" t="str">
        <f t="shared" si="9"/>
        <v/>
      </c>
      <c r="AN18" s="20" t="s">
        <v>10</v>
      </c>
      <c r="AO18" s="8" t="str">
        <f t="shared" si="10"/>
        <v/>
      </c>
      <c r="AP18" s="10" t="s">
        <v>11</v>
      </c>
      <c r="AQ18" s="15" t="str" cm="1">
        <f t="array" ref="AQ18">IF(tbl利用[[#This Row],[利用日]]="","",ROW()-ROW(tbl利用[#Headers]))</f>
        <v/>
      </c>
      <c r="AR18" s="32" t="str">
        <f t="shared" si="11"/>
        <v/>
      </c>
      <c r="AS18" s="15"/>
      <c r="AT18" s="43" t="str">
        <f t="shared" si="12"/>
        <v/>
      </c>
      <c r="AU18" s="1" t="str">
        <f t="shared" si="13"/>
        <v/>
      </c>
      <c r="AV18" s="1" t="str">
        <f t="shared" si="14"/>
        <v/>
      </c>
      <c r="AW18" s="1" t="str">
        <f>IF(tbl利用[[#This Row],[利用日]]="","",N(tbl利用[[#This Row],[利用時間_時]])*60+N(tbl利用[[#This Row],[利用時間_分]]))</f>
        <v/>
      </c>
      <c r="AX18" s="44" t="str">
        <f t="shared" si="15"/>
        <v/>
      </c>
      <c r="AY18" s="44" t="str">
        <f t="shared" si="1"/>
        <v/>
      </c>
      <c r="AZ18" s="45" t="str">
        <f>IF(tbl利用[[#This Row],[利用日]]="","",MAX(0,N(tbl利用[[#This Row],[割引前利用額]])-N(tbl利用[[#This Row],[割引額]])))</f>
        <v/>
      </c>
      <c r="BA18" s="45" t="str">
        <f>IF(OR(tbl利用[[#This Row],[利用日]]="",tbl利用[[#This Row],[利用分数]]&lt;=0),"",N(tbl利用[[#This Row],[割引前利用額]])/tbl利用[[#This Row],[利用分数]]*60)</f>
        <v/>
      </c>
      <c r="BB18" s="45" t="str">
        <f>IF(tbl利用[[#This Row],[利用区分]]="","",_xlfn.XLOOKUP(tbl利用[[#This Row],[利用区分]],$AQ$4:$AQ$5,$AR$4:$AR$5,"区分未登録"))</f>
        <v/>
      </c>
      <c r="BC18" s="45" t="str">
        <f>IF(OR(tbl利用[[#This Row],[通常時間単価]]="",NOT(ISNUMBER(tbl利用[[#This Row],[上限単価]]))),"",MIN(tbl利用[[#This Row],[通常時間単価]],tbl利用[[#This Row],[上限単価]]))</f>
        <v/>
      </c>
      <c r="BD18" s="45" t="str">
        <f>IF(tbl利用[[#This Row],[利用日]]="","",tbl利用[[#This Row],[利用分数]]/60*tbl利用[[#This Row],[基準単価]])</f>
        <v/>
      </c>
      <c r="BE18" s="45" t="str">
        <f>IF(OR(tbl利用[[#This Row],[利用日]]="",tbl利用[[#This Row],[利用区分]]=""),"",TEXT(tbl利用[[#This Row],[利用日]],"yyyymmdd")&amp;"|"&amp;tbl利用[[#This Row],[利用区分]])</f>
        <v/>
      </c>
      <c r="BF18" s="45" t="str">
        <f>IF(tbl利用[[#This Row],[日別区分キー]]="","",SUMIFS(tbl利用[明細実支出額],tbl利用[日別区分キー],tbl利用[[#This Row],[日別区分キー]]))</f>
        <v/>
      </c>
      <c r="BG18" s="45" t="str">
        <f>IF(tbl利用[[#This Row],[日別区分キー]]="","",SUMIFS(tbl利用[処理前明細基準額],tbl利用[日別区分キー],tbl利用[[#This Row],[日別区分キー]]))</f>
        <v/>
      </c>
      <c r="BH18" s="45" t="str">
        <f>IF(tbl利用[[#This Row],[日別区分キー]]="","",ROUNDDOWN(MIN(tbl利用[[#This Row],[日別区分実支出額]],tbl利用[[#This Row],[日別区分処理前基準額]]),0))</f>
        <v/>
      </c>
      <c r="BI18" s="45" t="str">
        <f>IF(tbl利用[[#This Row],[日別区分キー]]="","",MAX(0,tbl利用[[#This Row],[日別区分処理前基準額]]-tbl利用[[#This Row],[日別区分実支出額]]))</f>
        <v/>
      </c>
      <c r="BJ18" s="45">
        <f>IF(OR(tbl利用[[#This Row],[利用日]]="",tbl利用[[#This Row],[基準単価]]&lt;=0),0,MIN(tbl利用[[#This Row],[利用分数]],ROUNDDOWN(tbl利用[[#This Row],[日別区分余裕額]]/(tbl利用[[#This Row],[基準単価]]/60),0)))</f>
        <v>0</v>
      </c>
      <c r="BK18" s="50"/>
      <c r="BL18" s="45" t="str">
        <f>IF(tbl利用[[#This Row],[利用日]]="","",MAX(0,tbl利用[[#This Row],[利用分数]]-N(tbl利用[[#This Row],[切捨分数]])))</f>
        <v/>
      </c>
      <c r="BM18" s="45" t="str">
        <f>IF(tbl利用[[#This Row],[利用日]]="","",tbl利用[[#This Row],[処理後利用分数]]/60*tbl利用[[#This Row],[基準単価]])</f>
        <v/>
      </c>
      <c r="BN18" s="45" t="str">
        <f>IF(tbl利用[[#This Row],[日別区分キー]]="","",SUMIFS(tbl利用[処理後明細基準額],tbl利用[日別区分キー],tbl利用[[#This Row],[日別区分キー]]))</f>
        <v/>
      </c>
      <c r="BO18" s="45" t="str">
        <f>IF(tbl利用[[#This Row],[日別区分キー]]="","",ROUNDDOWN(MIN(tbl利用[[#This Row],[日別区分実支出額]],tbl利用[[#This Row],[日別区分処理後基準額]]),0))</f>
        <v/>
      </c>
      <c r="BP18" s="45" t="str">
        <f>IF(tbl利用[[#This Row],[日別区分キー]]="","",tbl利用[[#This Row],[日別区分処理前補助額]]-tbl利用[[#This Row],[日別区分補助額]])</f>
        <v/>
      </c>
      <c r="BQ18" s="45" t="str">
        <f>IF(OR(tbl利用[[#This Row],[日別区分キー]]="",tbl利用[[#This Row],[処理後利用分数]]&lt;=0),"",ROUNDDOWN(MIN(tbl利用[[#This Row],[日別区分実支出額]],tbl利用[[#This Row],[日別区分処理後基準額]]-tbl利用[[#This Row],[基準単価]]/60),0))</f>
        <v/>
      </c>
      <c r="BR18" s="52" t="str">
        <f>IF(tbl利用[[#This Row],[次の1分切捨時補助額]]="","",tbl利用[[#This Row],[日別区分補助額]]-tbl利用[[#This Row],[次の1分切捨時補助額]])</f>
        <v/>
      </c>
      <c r="BS18" s="45" t="str">
        <f>IF(tbl利用[[#This Row],[日別区分キー]]="","",--(COUNTIF(INDEX(tbl利用[日別区分キー],1):tbl利用[[#This Row],[日別区分キー]],tbl利用[[#This Row],[日別区分キー]])=1))</f>
        <v/>
      </c>
      <c r="BT18" s="45" t="str">
        <f>IF(tbl利用[[#This Row],[利用区分]]="","",SUMIFS(tbl利用[利用分数],tbl利用[利用区分],tbl利用[[#This Row],[利用区分]]))</f>
        <v/>
      </c>
      <c r="BU18" s="45" t="str">
        <f>IF(tbl利用[[#This Row],[利用区分]]="","",MOD(tbl利用[[#This Row],[区分総利用分数]],60))</f>
        <v/>
      </c>
      <c r="BV18" s="45" t="str">
        <f>IF(tbl利用[[#This Row],[利用区分]]="","",SUMIFS(tbl利用[切捨分数],tbl利用[利用区分],tbl利用[[#This Row],[利用区分]]))</f>
        <v/>
      </c>
      <c r="BW18" s="45" t="str">
        <f>IF(tbl利用[[#This Row],[利用区分]]="","",IF(tbl利用[[#This Row],[区分必要切捨分数]]=tbl利用[[#This Row],[区分入力切捨合計]],"OK","要確認"))</f>
        <v/>
      </c>
      <c r="BX18"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18" s="46"/>
    </row>
    <row r="19" spans="1:77" s="1" customFormat="1" ht="28.5" customHeight="1" x14ac:dyDescent="0.4">
      <c r="A19" s="19">
        <v>12</v>
      </c>
      <c r="B19" s="75"/>
      <c r="C19" s="76"/>
      <c r="D19" s="76"/>
      <c r="E19" s="76"/>
      <c r="F19" s="74"/>
      <c r="G19" s="13"/>
      <c r="H19" s="22" t="s">
        <v>8</v>
      </c>
      <c r="I19" s="14"/>
      <c r="J19" s="22" t="s">
        <v>9</v>
      </c>
      <c r="K19" s="14"/>
      <c r="L19" s="22" t="s">
        <v>8</v>
      </c>
      <c r="M19" s="14"/>
      <c r="N19" s="2" t="str">
        <f t="shared" si="2"/>
        <v/>
      </c>
      <c r="O19" s="22" t="s">
        <v>10</v>
      </c>
      <c r="P19" s="22" t="str">
        <f t="shared" si="3"/>
        <v/>
      </c>
      <c r="Q19" s="3" t="s">
        <v>11</v>
      </c>
      <c r="R19" s="79"/>
      <c r="S19" s="80"/>
      <c r="T19" s="4" t="s">
        <v>12</v>
      </c>
      <c r="U19" s="79"/>
      <c r="V19" s="80"/>
      <c r="W19" s="4" t="s">
        <v>12</v>
      </c>
      <c r="X19" s="80"/>
      <c r="Y19" s="81"/>
      <c r="Z19" s="4" t="s">
        <v>12</v>
      </c>
      <c r="AA19" s="15"/>
      <c r="AB19" s="5" t="str">
        <f t="shared" si="4"/>
        <v/>
      </c>
      <c r="AC19" s="20" t="s">
        <v>8</v>
      </c>
      <c r="AD19" s="6" t="str">
        <f t="shared" si="16"/>
        <v/>
      </c>
      <c r="AE19" s="20" t="s">
        <v>9</v>
      </c>
      <c r="AF19" s="6" t="str">
        <f t="shared" si="5"/>
        <v/>
      </c>
      <c r="AG19" s="20" t="s">
        <v>8</v>
      </c>
      <c r="AH19" s="6" t="str">
        <f t="shared" si="6"/>
        <v/>
      </c>
      <c r="AI19" s="7" t="str">
        <f t="shared" si="7"/>
        <v/>
      </c>
      <c r="AJ19" s="20" t="s">
        <v>10</v>
      </c>
      <c r="AK19" s="8" t="str">
        <f t="shared" si="8"/>
        <v/>
      </c>
      <c r="AL19" s="9" t="s">
        <v>11</v>
      </c>
      <c r="AM19" s="7" t="str">
        <f t="shared" si="9"/>
        <v/>
      </c>
      <c r="AN19" s="20" t="s">
        <v>10</v>
      </c>
      <c r="AO19" s="8" t="str">
        <f t="shared" si="10"/>
        <v/>
      </c>
      <c r="AP19" s="10" t="s">
        <v>11</v>
      </c>
      <c r="AQ19" s="15" t="str" cm="1">
        <f t="array" ref="AQ19">IF(tbl利用[[#This Row],[利用日]]="","",ROW()-ROW(tbl利用[#Headers]))</f>
        <v/>
      </c>
      <c r="AR19" s="32" t="str">
        <f t="shared" si="11"/>
        <v/>
      </c>
      <c r="AS19" s="15"/>
      <c r="AT19" s="43" t="str">
        <f t="shared" si="12"/>
        <v/>
      </c>
      <c r="AU19" s="1" t="str">
        <f t="shared" si="13"/>
        <v/>
      </c>
      <c r="AV19" s="1" t="str">
        <f t="shared" si="14"/>
        <v/>
      </c>
      <c r="AW19" s="1" t="str">
        <f>IF(tbl利用[[#This Row],[利用日]]="","",N(tbl利用[[#This Row],[利用時間_時]])*60+N(tbl利用[[#This Row],[利用時間_分]]))</f>
        <v/>
      </c>
      <c r="AX19" s="44" t="str">
        <f t="shared" si="15"/>
        <v/>
      </c>
      <c r="AY19" s="44" t="str">
        <f t="shared" si="1"/>
        <v/>
      </c>
      <c r="AZ19" s="45" t="str">
        <f>IF(tbl利用[[#This Row],[利用日]]="","",MAX(0,N(tbl利用[[#This Row],[割引前利用額]])-N(tbl利用[[#This Row],[割引額]])))</f>
        <v/>
      </c>
      <c r="BA19" s="45" t="str">
        <f>IF(OR(tbl利用[[#This Row],[利用日]]="",tbl利用[[#This Row],[利用分数]]&lt;=0),"",N(tbl利用[[#This Row],[割引前利用額]])/tbl利用[[#This Row],[利用分数]]*60)</f>
        <v/>
      </c>
      <c r="BB19" s="45" t="str">
        <f>IF(tbl利用[[#This Row],[利用区分]]="","",_xlfn.XLOOKUP(tbl利用[[#This Row],[利用区分]],$AQ$4:$AQ$5,$AR$4:$AR$5,"区分未登録"))</f>
        <v/>
      </c>
      <c r="BC19" s="45" t="str">
        <f>IF(OR(tbl利用[[#This Row],[通常時間単価]]="",NOT(ISNUMBER(tbl利用[[#This Row],[上限単価]]))),"",MIN(tbl利用[[#This Row],[通常時間単価]],tbl利用[[#This Row],[上限単価]]))</f>
        <v/>
      </c>
      <c r="BD19" s="45" t="str">
        <f>IF(tbl利用[[#This Row],[利用日]]="","",tbl利用[[#This Row],[利用分数]]/60*tbl利用[[#This Row],[基準単価]])</f>
        <v/>
      </c>
      <c r="BE19" s="45" t="str">
        <f>IF(OR(tbl利用[[#This Row],[利用日]]="",tbl利用[[#This Row],[利用区分]]=""),"",TEXT(tbl利用[[#This Row],[利用日]],"yyyymmdd")&amp;"|"&amp;tbl利用[[#This Row],[利用区分]])</f>
        <v/>
      </c>
      <c r="BF19" s="45" t="str">
        <f>IF(tbl利用[[#This Row],[日別区分キー]]="","",SUMIFS(tbl利用[明細実支出額],tbl利用[日別区分キー],tbl利用[[#This Row],[日別区分キー]]))</f>
        <v/>
      </c>
      <c r="BG19" s="45" t="str">
        <f>IF(tbl利用[[#This Row],[日別区分キー]]="","",SUMIFS(tbl利用[処理前明細基準額],tbl利用[日別区分キー],tbl利用[[#This Row],[日別区分キー]]))</f>
        <v/>
      </c>
      <c r="BH19" s="45" t="str">
        <f>IF(tbl利用[[#This Row],[日別区分キー]]="","",ROUNDDOWN(MIN(tbl利用[[#This Row],[日別区分実支出額]],tbl利用[[#This Row],[日別区分処理前基準額]]),0))</f>
        <v/>
      </c>
      <c r="BI19" s="45" t="str">
        <f>IF(tbl利用[[#This Row],[日別区分キー]]="","",MAX(0,tbl利用[[#This Row],[日別区分処理前基準額]]-tbl利用[[#This Row],[日別区分実支出額]]))</f>
        <v/>
      </c>
      <c r="BJ19" s="45">
        <f>IF(OR(tbl利用[[#This Row],[利用日]]="",tbl利用[[#This Row],[基準単価]]&lt;=0),0,MIN(tbl利用[[#This Row],[利用分数]],ROUNDDOWN(tbl利用[[#This Row],[日別区分余裕額]]/(tbl利用[[#This Row],[基準単価]]/60),0)))</f>
        <v>0</v>
      </c>
      <c r="BK19" s="50"/>
      <c r="BL19" s="45" t="str">
        <f>IF(tbl利用[[#This Row],[利用日]]="","",MAX(0,tbl利用[[#This Row],[利用分数]]-N(tbl利用[[#This Row],[切捨分数]])))</f>
        <v/>
      </c>
      <c r="BM19" s="45" t="str">
        <f>IF(tbl利用[[#This Row],[利用日]]="","",tbl利用[[#This Row],[処理後利用分数]]/60*tbl利用[[#This Row],[基準単価]])</f>
        <v/>
      </c>
      <c r="BN19" s="45" t="str">
        <f>IF(tbl利用[[#This Row],[日別区分キー]]="","",SUMIFS(tbl利用[処理後明細基準額],tbl利用[日別区分キー],tbl利用[[#This Row],[日別区分キー]]))</f>
        <v/>
      </c>
      <c r="BO19" s="45" t="str">
        <f>IF(tbl利用[[#This Row],[日別区分キー]]="","",ROUNDDOWN(MIN(tbl利用[[#This Row],[日別区分実支出額]],tbl利用[[#This Row],[日別区分処理後基準額]]),0))</f>
        <v/>
      </c>
      <c r="BP19" s="45" t="str">
        <f>IF(tbl利用[[#This Row],[日別区分キー]]="","",tbl利用[[#This Row],[日別区分処理前補助額]]-tbl利用[[#This Row],[日別区分補助額]])</f>
        <v/>
      </c>
      <c r="BQ19" s="45" t="str">
        <f>IF(OR(tbl利用[[#This Row],[日別区分キー]]="",tbl利用[[#This Row],[処理後利用分数]]&lt;=0),"",ROUNDDOWN(MIN(tbl利用[[#This Row],[日別区分実支出額]],tbl利用[[#This Row],[日別区分処理後基準額]]-tbl利用[[#This Row],[基準単価]]/60),0))</f>
        <v/>
      </c>
      <c r="BR19" s="52" t="str">
        <f>IF(tbl利用[[#This Row],[次の1分切捨時補助額]]="","",tbl利用[[#This Row],[日別区分補助額]]-tbl利用[[#This Row],[次の1分切捨時補助額]])</f>
        <v/>
      </c>
      <c r="BS19" s="45" t="str">
        <f>IF(tbl利用[[#This Row],[日別区分キー]]="","",--(COUNTIF(INDEX(tbl利用[日別区分キー],1):tbl利用[[#This Row],[日別区分キー]],tbl利用[[#This Row],[日別区分キー]])=1))</f>
        <v/>
      </c>
      <c r="BT19" s="45" t="str">
        <f>IF(tbl利用[[#This Row],[利用区分]]="","",SUMIFS(tbl利用[利用分数],tbl利用[利用区分],tbl利用[[#This Row],[利用区分]]))</f>
        <v/>
      </c>
      <c r="BU19" s="45" t="str">
        <f>IF(tbl利用[[#This Row],[利用区分]]="","",MOD(tbl利用[[#This Row],[区分総利用分数]],60))</f>
        <v/>
      </c>
      <c r="BV19" s="45" t="str">
        <f>IF(tbl利用[[#This Row],[利用区分]]="","",SUMIFS(tbl利用[切捨分数],tbl利用[利用区分],tbl利用[[#This Row],[利用区分]]))</f>
        <v/>
      </c>
      <c r="BW19" s="45" t="str">
        <f>IF(tbl利用[[#This Row],[利用区分]]="","",IF(tbl利用[[#This Row],[区分必要切捨分数]]=tbl利用[[#This Row],[区分入力切捨合計]],"OK","要確認"))</f>
        <v/>
      </c>
      <c r="BX19"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19" s="46"/>
    </row>
    <row r="20" spans="1:77" s="1" customFormat="1" ht="28.5" customHeight="1" x14ac:dyDescent="0.4">
      <c r="A20" s="19">
        <v>13</v>
      </c>
      <c r="B20" s="75"/>
      <c r="C20" s="76"/>
      <c r="D20" s="76"/>
      <c r="E20" s="76"/>
      <c r="F20" s="74"/>
      <c r="G20" s="13"/>
      <c r="H20" s="22" t="s">
        <v>8</v>
      </c>
      <c r="I20" s="14"/>
      <c r="J20" s="22" t="s">
        <v>9</v>
      </c>
      <c r="K20" s="14"/>
      <c r="L20" s="22" t="s">
        <v>8</v>
      </c>
      <c r="M20" s="14"/>
      <c r="N20" s="2" t="str">
        <f t="shared" si="2"/>
        <v/>
      </c>
      <c r="O20" s="22" t="s">
        <v>10</v>
      </c>
      <c r="P20" s="22" t="str">
        <f t="shared" si="3"/>
        <v/>
      </c>
      <c r="Q20" s="3" t="s">
        <v>11</v>
      </c>
      <c r="R20" s="79"/>
      <c r="S20" s="80"/>
      <c r="T20" s="4" t="s">
        <v>12</v>
      </c>
      <c r="U20" s="79"/>
      <c r="V20" s="80"/>
      <c r="W20" s="4" t="s">
        <v>12</v>
      </c>
      <c r="X20" s="80"/>
      <c r="Y20" s="81"/>
      <c r="Z20" s="4" t="s">
        <v>12</v>
      </c>
      <c r="AA20" s="15"/>
      <c r="AB20" s="5" t="str">
        <f t="shared" si="4"/>
        <v/>
      </c>
      <c r="AC20" s="20" t="s">
        <v>8</v>
      </c>
      <c r="AD20" s="6" t="str">
        <f t="shared" si="16"/>
        <v/>
      </c>
      <c r="AE20" s="20" t="s">
        <v>9</v>
      </c>
      <c r="AF20" s="6" t="str">
        <f t="shared" si="5"/>
        <v/>
      </c>
      <c r="AG20" s="20" t="s">
        <v>8</v>
      </c>
      <c r="AH20" s="6" t="str">
        <f t="shared" si="6"/>
        <v/>
      </c>
      <c r="AI20" s="7" t="str">
        <f t="shared" si="7"/>
        <v/>
      </c>
      <c r="AJ20" s="20" t="s">
        <v>10</v>
      </c>
      <c r="AK20" s="8" t="str">
        <f t="shared" si="8"/>
        <v/>
      </c>
      <c r="AL20" s="9" t="s">
        <v>11</v>
      </c>
      <c r="AM20" s="7" t="str">
        <f t="shared" si="9"/>
        <v/>
      </c>
      <c r="AN20" s="20" t="s">
        <v>10</v>
      </c>
      <c r="AO20" s="8" t="str">
        <f t="shared" si="10"/>
        <v/>
      </c>
      <c r="AP20" s="10" t="s">
        <v>11</v>
      </c>
      <c r="AQ20" s="15" t="str" cm="1">
        <f t="array" ref="AQ20">IF(tbl利用[[#This Row],[利用日]]="","",ROW()-ROW(tbl利用[#Headers]))</f>
        <v/>
      </c>
      <c r="AR20" s="32" t="str">
        <f t="shared" si="11"/>
        <v/>
      </c>
      <c r="AS20" s="15"/>
      <c r="AT20" s="43" t="str">
        <f t="shared" si="12"/>
        <v/>
      </c>
      <c r="AU20" s="1" t="str">
        <f t="shared" si="13"/>
        <v/>
      </c>
      <c r="AV20" s="1" t="str">
        <f t="shared" si="14"/>
        <v/>
      </c>
      <c r="AW20" s="1" t="str">
        <f>IF(tbl利用[[#This Row],[利用日]]="","",N(tbl利用[[#This Row],[利用時間_時]])*60+N(tbl利用[[#This Row],[利用時間_分]]))</f>
        <v/>
      </c>
      <c r="AX20" s="44" t="str">
        <f t="shared" si="15"/>
        <v/>
      </c>
      <c r="AY20" s="44" t="str">
        <f t="shared" si="1"/>
        <v/>
      </c>
      <c r="AZ20" s="45" t="str">
        <f>IF(tbl利用[[#This Row],[利用日]]="","",MAX(0,N(tbl利用[[#This Row],[割引前利用額]])-N(tbl利用[[#This Row],[割引額]])))</f>
        <v/>
      </c>
      <c r="BA20" s="45" t="str">
        <f>IF(OR(tbl利用[[#This Row],[利用日]]="",tbl利用[[#This Row],[利用分数]]&lt;=0),"",N(tbl利用[[#This Row],[割引前利用額]])/tbl利用[[#This Row],[利用分数]]*60)</f>
        <v/>
      </c>
      <c r="BB20" s="45" t="str">
        <f>IF(tbl利用[[#This Row],[利用区分]]="","",_xlfn.XLOOKUP(tbl利用[[#This Row],[利用区分]],$AQ$4:$AQ$5,$AR$4:$AR$5,"区分未登録"))</f>
        <v/>
      </c>
      <c r="BC20" s="45" t="str">
        <f>IF(OR(tbl利用[[#This Row],[通常時間単価]]="",NOT(ISNUMBER(tbl利用[[#This Row],[上限単価]]))),"",MIN(tbl利用[[#This Row],[通常時間単価]],tbl利用[[#This Row],[上限単価]]))</f>
        <v/>
      </c>
      <c r="BD20" s="45" t="str">
        <f>IF(tbl利用[[#This Row],[利用日]]="","",tbl利用[[#This Row],[利用分数]]/60*tbl利用[[#This Row],[基準単価]])</f>
        <v/>
      </c>
      <c r="BE20" s="45" t="str">
        <f>IF(OR(tbl利用[[#This Row],[利用日]]="",tbl利用[[#This Row],[利用区分]]=""),"",TEXT(tbl利用[[#This Row],[利用日]],"yyyymmdd")&amp;"|"&amp;tbl利用[[#This Row],[利用区分]])</f>
        <v/>
      </c>
      <c r="BF20" s="45" t="str">
        <f>IF(tbl利用[[#This Row],[日別区分キー]]="","",SUMIFS(tbl利用[明細実支出額],tbl利用[日別区分キー],tbl利用[[#This Row],[日別区分キー]]))</f>
        <v/>
      </c>
      <c r="BG20" s="45" t="str">
        <f>IF(tbl利用[[#This Row],[日別区分キー]]="","",SUMIFS(tbl利用[処理前明細基準額],tbl利用[日別区分キー],tbl利用[[#This Row],[日別区分キー]]))</f>
        <v/>
      </c>
      <c r="BH20" s="45" t="str">
        <f>IF(tbl利用[[#This Row],[日別区分キー]]="","",ROUNDDOWN(MIN(tbl利用[[#This Row],[日別区分実支出額]],tbl利用[[#This Row],[日別区分処理前基準額]]),0))</f>
        <v/>
      </c>
      <c r="BI20" s="45" t="str">
        <f>IF(tbl利用[[#This Row],[日別区分キー]]="","",MAX(0,tbl利用[[#This Row],[日別区分処理前基準額]]-tbl利用[[#This Row],[日別区分実支出額]]))</f>
        <v/>
      </c>
      <c r="BJ20" s="45">
        <f>IF(OR(tbl利用[[#This Row],[利用日]]="",tbl利用[[#This Row],[基準単価]]&lt;=0),0,MIN(tbl利用[[#This Row],[利用分数]],ROUNDDOWN(tbl利用[[#This Row],[日別区分余裕額]]/(tbl利用[[#This Row],[基準単価]]/60),0)))</f>
        <v>0</v>
      </c>
      <c r="BK20" s="50"/>
      <c r="BL20" s="45" t="str">
        <f>IF(tbl利用[[#This Row],[利用日]]="","",MAX(0,tbl利用[[#This Row],[利用分数]]-N(tbl利用[[#This Row],[切捨分数]])))</f>
        <v/>
      </c>
      <c r="BM20" s="45" t="str">
        <f>IF(tbl利用[[#This Row],[利用日]]="","",tbl利用[[#This Row],[処理後利用分数]]/60*tbl利用[[#This Row],[基準単価]])</f>
        <v/>
      </c>
      <c r="BN20" s="45" t="str">
        <f>IF(tbl利用[[#This Row],[日別区分キー]]="","",SUMIFS(tbl利用[処理後明細基準額],tbl利用[日別区分キー],tbl利用[[#This Row],[日別区分キー]]))</f>
        <v/>
      </c>
      <c r="BO20" s="45" t="str">
        <f>IF(tbl利用[[#This Row],[日別区分キー]]="","",ROUNDDOWN(MIN(tbl利用[[#This Row],[日別区分実支出額]],tbl利用[[#This Row],[日別区分処理後基準額]]),0))</f>
        <v/>
      </c>
      <c r="BP20" s="45" t="str">
        <f>IF(tbl利用[[#This Row],[日別区分キー]]="","",tbl利用[[#This Row],[日別区分処理前補助額]]-tbl利用[[#This Row],[日別区分補助額]])</f>
        <v/>
      </c>
      <c r="BQ20" s="45" t="str">
        <f>IF(OR(tbl利用[[#This Row],[日別区分キー]]="",tbl利用[[#This Row],[処理後利用分数]]&lt;=0),"",ROUNDDOWN(MIN(tbl利用[[#This Row],[日別区分実支出額]],tbl利用[[#This Row],[日別区分処理後基準額]]-tbl利用[[#This Row],[基準単価]]/60),0))</f>
        <v/>
      </c>
      <c r="BR20" s="52" t="str">
        <f>IF(tbl利用[[#This Row],[次の1分切捨時補助額]]="","",tbl利用[[#This Row],[日別区分補助額]]-tbl利用[[#This Row],[次の1分切捨時補助額]])</f>
        <v/>
      </c>
      <c r="BS20" s="45" t="str">
        <f>IF(tbl利用[[#This Row],[日別区分キー]]="","",--(COUNTIF(INDEX(tbl利用[日別区分キー],1):tbl利用[[#This Row],[日別区分キー]],tbl利用[[#This Row],[日別区分キー]])=1))</f>
        <v/>
      </c>
      <c r="BT20" s="45" t="str">
        <f>IF(tbl利用[[#This Row],[利用区分]]="","",SUMIFS(tbl利用[利用分数],tbl利用[利用区分],tbl利用[[#This Row],[利用区分]]))</f>
        <v/>
      </c>
      <c r="BU20" s="45" t="str">
        <f>IF(tbl利用[[#This Row],[利用区分]]="","",MOD(tbl利用[[#This Row],[区分総利用分数]],60))</f>
        <v/>
      </c>
      <c r="BV20" s="45" t="str">
        <f>IF(tbl利用[[#This Row],[利用区分]]="","",SUMIFS(tbl利用[切捨分数],tbl利用[利用区分],tbl利用[[#This Row],[利用区分]]))</f>
        <v/>
      </c>
      <c r="BW20" s="45" t="str">
        <f>IF(tbl利用[[#This Row],[利用区分]]="","",IF(tbl利用[[#This Row],[区分必要切捨分数]]=tbl利用[[#This Row],[区分入力切捨合計]],"OK","要確認"))</f>
        <v/>
      </c>
      <c r="BX20"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20" s="46"/>
    </row>
    <row r="21" spans="1:77" s="1" customFormat="1" ht="28.5" customHeight="1" x14ac:dyDescent="0.4">
      <c r="A21" s="19">
        <v>14</v>
      </c>
      <c r="B21" s="75"/>
      <c r="C21" s="76"/>
      <c r="D21" s="76"/>
      <c r="E21" s="76"/>
      <c r="F21" s="74"/>
      <c r="G21" s="13"/>
      <c r="H21" s="22" t="s">
        <v>8</v>
      </c>
      <c r="I21" s="14"/>
      <c r="J21" s="22" t="s">
        <v>9</v>
      </c>
      <c r="K21" s="14"/>
      <c r="L21" s="22" t="s">
        <v>8</v>
      </c>
      <c r="M21" s="14"/>
      <c r="N21" s="2" t="str">
        <f t="shared" si="2"/>
        <v/>
      </c>
      <c r="O21" s="22" t="s">
        <v>10</v>
      </c>
      <c r="P21" s="22" t="str">
        <f t="shared" si="3"/>
        <v/>
      </c>
      <c r="Q21" s="3" t="s">
        <v>11</v>
      </c>
      <c r="R21" s="79"/>
      <c r="S21" s="80"/>
      <c r="T21" s="4" t="s">
        <v>12</v>
      </c>
      <c r="U21" s="79"/>
      <c r="V21" s="80"/>
      <c r="W21" s="4" t="s">
        <v>12</v>
      </c>
      <c r="X21" s="80"/>
      <c r="Y21" s="81"/>
      <c r="Z21" s="4" t="s">
        <v>12</v>
      </c>
      <c r="AA21" s="15"/>
      <c r="AB21" s="5" t="str">
        <f t="shared" si="4"/>
        <v/>
      </c>
      <c r="AC21" s="20" t="s">
        <v>8</v>
      </c>
      <c r="AD21" s="6" t="str">
        <f t="shared" si="16"/>
        <v/>
      </c>
      <c r="AE21" s="20" t="s">
        <v>9</v>
      </c>
      <c r="AF21" s="6" t="str">
        <f t="shared" si="5"/>
        <v/>
      </c>
      <c r="AG21" s="20" t="s">
        <v>8</v>
      </c>
      <c r="AH21" s="6" t="str">
        <f t="shared" si="6"/>
        <v/>
      </c>
      <c r="AI21" s="7" t="str">
        <f t="shared" si="7"/>
        <v/>
      </c>
      <c r="AJ21" s="20" t="s">
        <v>10</v>
      </c>
      <c r="AK21" s="8" t="str">
        <f t="shared" si="8"/>
        <v/>
      </c>
      <c r="AL21" s="9" t="s">
        <v>11</v>
      </c>
      <c r="AM21" s="7" t="str">
        <f t="shared" si="9"/>
        <v/>
      </c>
      <c r="AN21" s="20" t="s">
        <v>10</v>
      </c>
      <c r="AO21" s="8" t="str">
        <f t="shared" si="10"/>
        <v/>
      </c>
      <c r="AP21" s="10" t="s">
        <v>11</v>
      </c>
      <c r="AQ21" s="15" t="str" cm="1">
        <f t="array" ref="AQ21">IF(tbl利用[[#This Row],[利用日]]="","",ROW()-ROW(tbl利用[#Headers]))</f>
        <v/>
      </c>
      <c r="AR21" s="32" t="str">
        <f t="shared" si="11"/>
        <v/>
      </c>
      <c r="AS21" s="15"/>
      <c r="AT21" s="43" t="str">
        <f t="shared" si="12"/>
        <v/>
      </c>
      <c r="AU21" s="1" t="str">
        <f t="shared" si="13"/>
        <v/>
      </c>
      <c r="AV21" s="1" t="str">
        <f t="shared" si="14"/>
        <v/>
      </c>
      <c r="AW21" s="1" t="str">
        <f>IF(tbl利用[[#This Row],[利用日]]="","",N(tbl利用[[#This Row],[利用時間_時]])*60+N(tbl利用[[#This Row],[利用時間_分]]))</f>
        <v/>
      </c>
      <c r="AX21" s="44" t="str">
        <f t="shared" si="15"/>
        <v/>
      </c>
      <c r="AY21" s="44" t="str">
        <f t="shared" si="1"/>
        <v/>
      </c>
      <c r="AZ21" s="45" t="str">
        <f>IF(tbl利用[[#This Row],[利用日]]="","",MAX(0,N(tbl利用[[#This Row],[割引前利用額]])-N(tbl利用[[#This Row],[割引額]])))</f>
        <v/>
      </c>
      <c r="BA21" s="45" t="str">
        <f>IF(OR(tbl利用[[#This Row],[利用日]]="",tbl利用[[#This Row],[利用分数]]&lt;=0),"",N(tbl利用[[#This Row],[割引前利用額]])/tbl利用[[#This Row],[利用分数]]*60)</f>
        <v/>
      </c>
      <c r="BB21" s="45" t="str">
        <f>IF(tbl利用[[#This Row],[利用区分]]="","",_xlfn.XLOOKUP(tbl利用[[#This Row],[利用区分]],$AQ$4:$AQ$5,$AR$4:$AR$5,"区分未登録"))</f>
        <v/>
      </c>
      <c r="BC21" s="45" t="str">
        <f>IF(OR(tbl利用[[#This Row],[通常時間単価]]="",NOT(ISNUMBER(tbl利用[[#This Row],[上限単価]]))),"",MIN(tbl利用[[#This Row],[通常時間単価]],tbl利用[[#This Row],[上限単価]]))</f>
        <v/>
      </c>
      <c r="BD21" s="45" t="str">
        <f>IF(tbl利用[[#This Row],[利用日]]="","",tbl利用[[#This Row],[利用分数]]/60*tbl利用[[#This Row],[基準単価]])</f>
        <v/>
      </c>
      <c r="BE21" s="45" t="str">
        <f>IF(OR(tbl利用[[#This Row],[利用日]]="",tbl利用[[#This Row],[利用区分]]=""),"",TEXT(tbl利用[[#This Row],[利用日]],"yyyymmdd")&amp;"|"&amp;tbl利用[[#This Row],[利用区分]])</f>
        <v/>
      </c>
      <c r="BF21" s="45" t="str">
        <f>IF(tbl利用[[#This Row],[日別区分キー]]="","",SUMIFS(tbl利用[明細実支出額],tbl利用[日別区分キー],tbl利用[[#This Row],[日別区分キー]]))</f>
        <v/>
      </c>
      <c r="BG21" s="45" t="str">
        <f>IF(tbl利用[[#This Row],[日別区分キー]]="","",SUMIFS(tbl利用[処理前明細基準額],tbl利用[日別区分キー],tbl利用[[#This Row],[日別区分キー]]))</f>
        <v/>
      </c>
      <c r="BH21" s="45" t="str">
        <f>IF(tbl利用[[#This Row],[日別区分キー]]="","",ROUNDDOWN(MIN(tbl利用[[#This Row],[日別区分実支出額]],tbl利用[[#This Row],[日別区分処理前基準額]]),0))</f>
        <v/>
      </c>
      <c r="BI21" s="45" t="str">
        <f>IF(tbl利用[[#This Row],[日別区分キー]]="","",MAX(0,tbl利用[[#This Row],[日別区分処理前基準額]]-tbl利用[[#This Row],[日別区分実支出額]]))</f>
        <v/>
      </c>
      <c r="BJ21" s="45">
        <f>IF(OR(tbl利用[[#This Row],[利用日]]="",tbl利用[[#This Row],[基準単価]]&lt;=0),0,MIN(tbl利用[[#This Row],[利用分数]],ROUNDDOWN(tbl利用[[#This Row],[日別区分余裕額]]/(tbl利用[[#This Row],[基準単価]]/60),0)))</f>
        <v>0</v>
      </c>
      <c r="BK21" s="50"/>
      <c r="BL21" s="45" t="str">
        <f>IF(tbl利用[[#This Row],[利用日]]="","",MAX(0,tbl利用[[#This Row],[利用分数]]-N(tbl利用[[#This Row],[切捨分数]])))</f>
        <v/>
      </c>
      <c r="BM21" s="45" t="str">
        <f>IF(tbl利用[[#This Row],[利用日]]="","",tbl利用[[#This Row],[処理後利用分数]]/60*tbl利用[[#This Row],[基準単価]])</f>
        <v/>
      </c>
      <c r="BN21" s="45" t="str">
        <f>IF(tbl利用[[#This Row],[日別区分キー]]="","",SUMIFS(tbl利用[処理後明細基準額],tbl利用[日別区分キー],tbl利用[[#This Row],[日別区分キー]]))</f>
        <v/>
      </c>
      <c r="BO21" s="45" t="str">
        <f>IF(tbl利用[[#This Row],[日別区分キー]]="","",ROUNDDOWN(MIN(tbl利用[[#This Row],[日別区分実支出額]],tbl利用[[#This Row],[日別区分処理後基準額]]),0))</f>
        <v/>
      </c>
      <c r="BP21" s="45" t="str">
        <f>IF(tbl利用[[#This Row],[日別区分キー]]="","",tbl利用[[#This Row],[日別区分処理前補助額]]-tbl利用[[#This Row],[日別区分補助額]])</f>
        <v/>
      </c>
      <c r="BQ21" s="45" t="str">
        <f>IF(OR(tbl利用[[#This Row],[日別区分キー]]="",tbl利用[[#This Row],[処理後利用分数]]&lt;=0),"",ROUNDDOWN(MIN(tbl利用[[#This Row],[日別区分実支出額]],tbl利用[[#This Row],[日別区分処理後基準額]]-tbl利用[[#This Row],[基準単価]]/60),0))</f>
        <v/>
      </c>
      <c r="BR21" s="52" t="str">
        <f>IF(tbl利用[[#This Row],[次の1分切捨時補助額]]="","",tbl利用[[#This Row],[日別区分補助額]]-tbl利用[[#This Row],[次の1分切捨時補助額]])</f>
        <v/>
      </c>
      <c r="BS21" s="45" t="str">
        <f>IF(tbl利用[[#This Row],[日別区分キー]]="","",--(COUNTIF(INDEX(tbl利用[日別区分キー],1):tbl利用[[#This Row],[日別区分キー]],tbl利用[[#This Row],[日別区分キー]])=1))</f>
        <v/>
      </c>
      <c r="BT21" s="45" t="str">
        <f>IF(tbl利用[[#This Row],[利用区分]]="","",SUMIFS(tbl利用[利用分数],tbl利用[利用区分],tbl利用[[#This Row],[利用区分]]))</f>
        <v/>
      </c>
      <c r="BU21" s="45" t="str">
        <f>IF(tbl利用[[#This Row],[利用区分]]="","",MOD(tbl利用[[#This Row],[区分総利用分数]],60))</f>
        <v/>
      </c>
      <c r="BV21" s="45" t="str">
        <f>IF(tbl利用[[#This Row],[利用区分]]="","",SUMIFS(tbl利用[切捨分数],tbl利用[利用区分],tbl利用[[#This Row],[利用区分]]))</f>
        <v/>
      </c>
      <c r="BW21" s="45" t="str">
        <f>IF(tbl利用[[#This Row],[利用区分]]="","",IF(tbl利用[[#This Row],[区分必要切捨分数]]=tbl利用[[#This Row],[区分入力切捨合計]],"OK","要確認"))</f>
        <v/>
      </c>
      <c r="BX21"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21" s="46"/>
    </row>
    <row r="22" spans="1:77" s="1" customFormat="1" ht="28.5" customHeight="1" x14ac:dyDescent="0.4">
      <c r="A22" s="19">
        <v>15</v>
      </c>
      <c r="B22" s="75"/>
      <c r="C22" s="76"/>
      <c r="D22" s="76"/>
      <c r="E22" s="76"/>
      <c r="F22" s="74"/>
      <c r="G22" s="13"/>
      <c r="H22" s="22" t="s">
        <v>8</v>
      </c>
      <c r="I22" s="14"/>
      <c r="J22" s="22" t="s">
        <v>9</v>
      </c>
      <c r="K22" s="14"/>
      <c r="L22" s="22" t="s">
        <v>8</v>
      </c>
      <c r="M22" s="14"/>
      <c r="N22" s="2" t="str">
        <f t="shared" si="2"/>
        <v/>
      </c>
      <c r="O22" s="22" t="s">
        <v>10</v>
      </c>
      <c r="P22" s="22" t="str">
        <f t="shared" si="3"/>
        <v/>
      </c>
      <c r="Q22" s="3" t="s">
        <v>11</v>
      </c>
      <c r="R22" s="79"/>
      <c r="S22" s="80"/>
      <c r="T22" s="4" t="s">
        <v>12</v>
      </c>
      <c r="U22" s="79"/>
      <c r="V22" s="80"/>
      <c r="W22" s="4" t="s">
        <v>12</v>
      </c>
      <c r="X22" s="80"/>
      <c r="Y22" s="81"/>
      <c r="Z22" s="4" t="s">
        <v>12</v>
      </c>
      <c r="AA22" s="15"/>
      <c r="AB22" s="5" t="str">
        <f t="shared" si="4"/>
        <v/>
      </c>
      <c r="AC22" s="20" t="s">
        <v>8</v>
      </c>
      <c r="AD22" s="6" t="str">
        <f t="shared" si="16"/>
        <v/>
      </c>
      <c r="AE22" s="20" t="s">
        <v>9</v>
      </c>
      <c r="AF22" s="6" t="str">
        <f t="shared" si="5"/>
        <v/>
      </c>
      <c r="AG22" s="20" t="s">
        <v>8</v>
      </c>
      <c r="AH22" s="6" t="str">
        <f t="shared" si="6"/>
        <v/>
      </c>
      <c r="AI22" s="7" t="str">
        <f t="shared" si="7"/>
        <v/>
      </c>
      <c r="AJ22" s="20" t="s">
        <v>10</v>
      </c>
      <c r="AK22" s="8" t="str">
        <f t="shared" si="8"/>
        <v/>
      </c>
      <c r="AL22" s="9" t="s">
        <v>11</v>
      </c>
      <c r="AM22" s="7" t="str">
        <f t="shared" si="9"/>
        <v/>
      </c>
      <c r="AN22" s="20" t="s">
        <v>10</v>
      </c>
      <c r="AO22" s="8" t="str">
        <f t="shared" si="10"/>
        <v/>
      </c>
      <c r="AP22" s="10" t="s">
        <v>11</v>
      </c>
      <c r="AQ22" s="15" t="str" cm="1">
        <f t="array" ref="AQ22">IF(tbl利用[[#This Row],[利用日]]="","",ROW()-ROW(tbl利用[#Headers]))</f>
        <v/>
      </c>
      <c r="AR22" s="32" t="str">
        <f t="shared" si="11"/>
        <v/>
      </c>
      <c r="AS22" s="15"/>
      <c r="AT22" s="43" t="str">
        <f t="shared" si="12"/>
        <v/>
      </c>
      <c r="AU22" s="1" t="str">
        <f t="shared" si="13"/>
        <v/>
      </c>
      <c r="AV22" s="1" t="str">
        <f t="shared" si="14"/>
        <v/>
      </c>
      <c r="AW22" s="1" t="str">
        <f>IF(tbl利用[[#This Row],[利用日]]="","",N(tbl利用[[#This Row],[利用時間_時]])*60+N(tbl利用[[#This Row],[利用時間_分]]))</f>
        <v/>
      </c>
      <c r="AX22" s="44" t="str">
        <f t="shared" si="15"/>
        <v/>
      </c>
      <c r="AY22" s="44" t="str">
        <f t="shared" si="1"/>
        <v/>
      </c>
      <c r="AZ22" s="45" t="str">
        <f>IF(tbl利用[[#This Row],[利用日]]="","",MAX(0,N(tbl利用[[#This Row],[割引前利用額]])-N(tbl利用[[#This Row],[割引額]])))</f>
        <v/>
      </c>
      <c r="BA22" s="45" t="str">
        <f>IF(OR(tbl利用[[#This Row],[利用日]]="",tbl利用[[#This Row],[利用分数]]&lt;=0),"",N(tbl利用[[#This Row],[割引前利用額]])/tbl利用[[#This Row],[利用分数]]*60)</f>
        <v/>
      </c>
      <c r="BB22" s="45" t="str">
        <f>IF(tbl利用[[#This Row],[利用区分]]="","",_xlfn.XLOOKUP(tbl利用[[#This Row],[利用区分]],$AQ$4:$AQ$5,$AR$4:$AR$5,"区分未登録"))</f>
        <v/>
      </c>
      <c r="BC22" s="45" t="str">
        <f>IF(OR(tbl利用[[#This Row],[通常時間単価]]="",NOT(ISNUMBER(tbl利用[[#This Row],[上限単価]]))),"",MIN(tbl利用[[#This Row],[通常時間単価]],tbl利用[[#This Row],[上限単価]]))</f>
        <v/>
      </c>
      <c r="BD22" s="45" t="str">
        <f>IF(tbl利用[[#This Row],[利用日]]="","",tbl利用[[#This Row],[利用分数]]/60*tbl利用[[#This Row],[基準単価]])</f>
        <v/>
      </c>
      <c r="BE22" s="45" t="str">
        <f>IF(OR(tbl利用[[#This Row],[利用日]]="",tbl利用[[#This Row],[利用区分]]=""),"",TEXT(tbl利用[[#This Row],[利用日]],"yyyymmdd")&amp;"|"&amp;tbl利用[[#This Row],[利用区分]])</f>
        <v/>
      </c>
      <c r="BF22" s="45" t="str">
        <f>IF(tbl利用[[#This Row],[日別区分キー]]="","",SUMIFS(tbl利用[明細実支出額],tbl利用[日別区分キー],tbl利用[[#This Row],[日別区分キー]]))</f>
        <v/>
      </c>
      <c r="BG22" s="45" t="str">
        <f>IF(tbl利用[[#This Row],[日別区分キー]]="","",SUMIFS(tbl利用[処理前明細基準額],tbl利用[日別区分キー],tbl利用[[#This Row],[日別区分キー]]))</f>
        <v/>
      </c>
      <c r="BH22" s="45" t="str">
        <f>IF(tbl利用[[#This Row],[日別区分キー]]="","",ROUNDDOWN(MIN(tbl利用[[#This Row],[日別区分実支出額]],tbl利用[[#This Row],[日別区分処理前基準額]]),0))</f>
        <v/>
      </c>
      <c r="BI22" s="45" t="str">
        <f>IF(tbl利用[[#This Row],[日別区分キー]]="","",MAX(0,tbl利用[[#This Row],[日別区分処理前基準額]]-tbl利用[[#This Row],[日別区分実支出額]]))</f>
        <v/>
      </c>
      <c r="BJ22" s="45">
        <f>IF(OR(tbl利用[[#This Row],[利用日]]="",tbl利用[[#This Row],[基準単価]]&lt;=0),0,MIN(tbl利用[[#This Row],[利用分数]],ROUNDDOWN(tbl利用[[#This Row],[日別区分余裕額]]/(tbl利用[[#This Row],[基準単価]]/60),0)))</f>
        <v>0</v>
      </c>
      <c r="BK22" s="50"/>
      <c r="BL22" s="45" t="str">
        <f>IF(tbl利用[[#This Row],[利用日]]="","",MAX(0,tbl利用[[#This Row],[利用分数]]-N(tbl利用[[#This Row],[切捨分数]])))</f>
        <v/>
      </c>
      <c r="BM22" s="45" t="str">
        <f>IF(tbl利用[[#This Row],[利用日]]="","",tbl利用[[#This Row],[処理後利用分数]]/60*tbl利用[[#This Row],[基準単価]])</f>
        <v/>
      </c>
      <c r="BN22" s="45" t="str">
        <f>IF(tbl利用[[#This Row],[日別区分キー]]="","",SUMIFS(tbl利用[処理後明細基準額],tbl利用[日別区分キー],tbl利用[[#This Row],[日別区分キー]]))</f>
        <v/>
      </c>
      <c r="BO22" s="45" t="str">
        <f>IF(tbl利用[[#This Row],[日別区分キー]]="","",ROUNDDOWN(MIN(tbl利用[[#This Row],[日別区分実支出額]],tbl利用[[#This Row],[日別区分処理後基準額]]),0))</f>
        <v/>
      </c>
      <c r="BP22" s="45" t="str">
        <f>IF(tbl利用[[#This Row],[日別区分キー]]="","",tbl利用[[#This Row],[日別区分処理前補助額]]-tbl利用[[#This Row],[日別区分補助額]])</f>
        <v/>
      </c>
      <c r="BQ22" s="45" t="str">
        <f>IF(OR(tbl利用[[#This Row],[日別区分キー]]="",tbl利用[[#This Row],[処理後利用分数]]&lt;=0),"",ROUNDDOWN(MIN(tbl利用[[#This Row],[日別区分実支出額]],tbl利用[[#This Row],[日別区分処理後基準額]]-tbl利用[[#This Row],[基準単価]]/60),0))</f>
        <v/>
      </c>
      <c r="BR22" s="52" t="str">
        <f>IF(tbl利用[[#This Row],[次の1分切捨時補助額]]="","",tbl利用[[#This Row],[日別区分補助額]]-tbl利用[[#This Row],[次の1分切捨時補助額]])</f>
        <v/>
      </c>
      <c r="BS22" s="45" t="str">
        <f>IF(tbl利用[[#This Row],[日別区分キー]]="","",--(COUNTIF(INDEX(tbl利用[日別区分キー],1):tbl利用[[#This Row],[日別区分キー]],tbl利用[[#This Row],[日別区分キー]])=1))</f>
        <v/>
      </c>
      <c r="BT22" s="45" t="str">
        <f>IF(tbl利用[[#This Row],[利用区分]]="","",SUMIFS(tbl利用[利用分数],tbl利用[利用区分],tbl利用[[#This Row],[利用区分]]))</f>
        <v/>
      </c>
      <c r="BU22" s="45" t="str">
        <f>IF(tbl利用[[#This Row],[利用区分]]="","",MOD(tbl利用[[#This Row],[区分総利用分数]],60))</f>
        <v/>
      </c>
      <c r="BV22" s="45" t="str">
        <f>IF(tbl利用[[#This Row],[利用区分]]="","",SUMIFS(tbl利用[切捨分数],tbl利用[利用区分],tbl利用[[#This Row],[利用区分]]))</f>
        <v/>
      </c>
      <c r="BW22" s="45" t="str">
        <f>IF(tbl利用[[#This Row],[利用区分]]="","",IF(tbl利用[[#This Row],[区分必要切捨分数]]=tbl利用[[#This Row],[区分入力切捨合計]],"OK","要確認"))</f>
        <v/>
      </c>
      <c r="BX22"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22" s="46"/>
    </row>
    <row r="23" spans="1:77" s="1" customFormat="1" ht="28.5" customHeight="1" x14ac:dyDescent="0.4">
      <c r="A23" s="19">
        <v>16</v>
      </c>
      <c r="B23" s="75"/>
      <c r="C23" s="76"/>
      <c r="D23" s="76"/>
      <c r="E23" s="76"/>
      <c r="F23" s="74"/>
      <c r="G23" s="13"/>
      <c r="H23" s="22" t="s">
        <v>8</v>
      </c>
      <c r="I23" s="14"/>
      <c r="J23" s="22" t="s">
        <v>9</v>
      </c>
      <c r="K23" s="14"/>
      <c r="L23" s="22" t="s">
        <v>8</v>
      </c>
      <c r="M23" s="14"/>
      <c r="N23" s="2" t="str">
        <f t="shared" si="2"/>
        <v/>
      </c>
      <c r="O23" s="22" t="s">
        <v>10</v>
      </c>
      <c r="P23" s="22" t="str">
        <f t="shared" si="3"/>
        <v/>
      </c>
      <c r="Q23" s="3" t="s">
        <v>11</v>
      </c>
      <c r="R23" s="79"/>
      <c r="S23" s="80"/>
      <c r="T23" s="4" t="s">
        <v>12</v>
      </c>
      <c r="U23" s="79"/>
      <c r="V23" s="80"/>
      <c r="W23" s="4" t="s">
        <v>12</v>
      </c>
      <c r="X23" s="80"/>
      <c r="Y23" s="81"/>
      <c r="Z23" s="4" t="s">
        <v>12</v>
      </c>
      <c r="AA23" s="15"/>
      <c r="AB23" s="5" t="str">
        <f t="shared" si="4"/>
        <v/>
      </c>
      <c r="AC23" s="20" t="s">
        <v>8</v>
      </c>
      <c r="AD23" s="6" t="str">
        <f t="shared" si="16"/>
        <v/>
      </c>
      <c r="AE23" s="20" t="s">
        <v>9</v>
      </c>
      <c r="AF23" s="6" t="str">
        <f t="shared" si="5"/>
        <v/>
      </c>
      <c r="AG23" s="20" t="s">
        <v>8</v>
      </c>
      <c r="AH23" s="6" t="str">
        <f t="shared" si="6"/>
        <v/>
      </c>
      <c r="AI23" s="7" t="str">
        <f t="shared" si="7"/>
        <v/>
      </c>
      <c r="AJ23" s="20" t="s">
        <v>10</v>
      </c>
      <c r="AK23" s="8" t="str">
        <f t="shared" si="8"/>
        <v/>
      </c>
      <c r="AL23" s="9" t="s">
        <v>11</v>
      </c>
      <c r="AM23" s="7" t="str">
        <f t="shared" si="9"/>
        <v/>
      </c>
      <c r="AN23" s="20" t="s">
        <v>10</v>
      </c>
      <c r="AO23" s="8" t="str">
        <f t="shared" si="10"/>
        <v/>
      </c>
      <c r="AP23" s="10" t="s">
        <v>11</v>
      </c>
      <c r="AQ23" s="15" t="str" cm="1">
        <f t="array" ref="AQ23">IF(tbl利用[[#This Row],[利用日]]="","",ROW()-ROW(tbl利用[#Headers]))</f>
        <v/>
      </c>
      <c r="AR23" s="32" t="str">
        <f t="shared" si="11"/>
        <v/>
      </c>
      <c r="AS23" s="15"/>
      <c r="AT23" s="43" t="str">
        <f t="shared" si="12"/>
        <v/>
      </c>
      <c r="AU23" s="1" t="str">
        <f t="shared" si="13"/>
        <v/>
      </c>
      <c r="AV23" s="1" t="str">
        <f t="shared" si="14"/>
        <v/>
      </c>
      <c r="AW23" s="1" t="str">
        <f>IF(tbl利用[[#This Row],[利用日]]="","",N(tbl利用[[#This Row],[利用時間_時]])*60+N(tbl利用[[#This Row],[利用時間_分]]))</f>
        <v/>
      </c>
      <c r="AX23" s="44" t="str">
        <f t="shared" si="15"/>
        <v/>
      </c>
      <c r="AY23" s="44" t="str">
        <f t="shared" si="1"/>
        <v/>
      </c>
      <c r="AZ23" s="45" t="str">
        <f>IF(tbl利用[[#This Row],[利用日]]="","",MAX(0,N(tbl利用[[#This Row],[割引前利用額]])-N(tbl利用[[#This Row],[割引額]])))</f>
        <v/>
      </c>
      <c r="BA23" s="45" t="str">
        <f>IF(OR(tbl利用[[#This Row],[利用日]]="",tbl利用[[#This Row],[利用分数]]&lt;=0),"",N(tbl利用[[#This Row],[割引前利用額]])/tbl利用[[#This Row],[利用分数]]*60)</f>
        <v/>
      </c>
      <c r="BB23" s="45" t="str">
        <f>IF(tbl利用[[#This Row],[利用区分]]="","",_xlfn.XLOOKUP(tbl利用[[#This Row],[利用区分]],$AQ$4:$AQ$5,$AR$4:$AR$5,"区分未登録"))</f>
        <v/>
      </c>
      <c r="BC23" s="45" t="str">
        <f>IF(OR(tbl利用[[#This Row],[通常時間単価]]="",NOT(ISNUMBER(tbl利用[[#This Row],[上限単価]]))),"",MIN(tbl利用[[#This Row],[通常時間単価]],tbl利用[[#This Row],[上限単価]]))</f>
        <v/>
      </c>
      <c r="BD23" s="45" t="str">
        <f>IF(tbl利用[[#This Row],[利用日]]="","",tbl利用[[#This Row],[利用分数]]/60*tbl利用[[#This Row],[基準単価]])</f>
        <v/>
      </c>
      <c r="BE23" s="45" t="str">
        <f>IF(OR(tbl利用[[#This Row],[利用日]]="",tbl利用[[#This Row],[利用区分]]=""),"",TEXT(tbl利用[[#This Row],[利用日]],"yyyymmdd")&amp;"|"&amp;tbl利用[[#This Row],[利用区分]])</f>
        <v/>
      </c>
      <c r="BF23" s="45" t="str">
        <f>IF(tbl利用[[#This Row],[日別区分キー]]="","",SUMIFS(tbl利用[明細実支出額],tbl利用[日別区分キー],tbl利用[[#This Row],[日別区分キー]]))</f>
        <v/>
      </c>
      <c r="BG23" s="45" t="str">
        <f>IF(tbl利用[[#This Row],[日別区分キー]]="","",SUMIFS(tbl利用[処理前明細基準額],tbl利用[日別区分キー],tbl利用[[#This Row],[日別区分キー]]))</f>
        <v/>
      </c>
      <c r="BH23" s="45" t="str">
        <f>IF(tbl利用[[#This Row],[日別区分キー]]="","",ROUNDDOWN(MIN(tbl利用[[#This Row],[日別区分実支出額]],tbl利用[[#This Row],[日別区分処理前基準額]]),0))</f>
        <v/>
      </c>
      <c r="BI23" s="45" t="str">
        <f>IF(tbl利用[[#This Row],[日別区分キー]]="","",MAX(0,tbl利用[[#This Row],[日別区分処理前基準額]]-tbl利用[[#This Row],[日別区分実支出額]]))</f>
        <v/>
      </c>
      <c r="BJ23" s="45">
        <f>IF(OR(tbl利用[[#This Row],[利用日]]="",tbl利用[[#This Row],[基準単価]]&lt;=0),0,MIN(tbl利用[[#This Row],[利用分数]],ROUNDDOWN(tbl利用[[#This Row],[日別区分余裕額]]/(tbl利用[[#This Row],[基準単価]]/60),0)))</f>
        <v>0</v>
      </c>
      <c r="BK23" s="50"/>
      <c r="BL23" s="45" t="str">
        <f>IF(tbl利用[[#This Row],[利用日]]="","",MAX(0,tbl利用[[#This Row],[利用分数]]-N(tbl利用[[#This Row],[切捨分数]])))</f>
        <v/>
      </c>
      <c r="BM23" s="45" t="str">
        <f>IF(tbl利用[[#This Row],[利用日]]="","",tbl利用[[#This Row],[処理後利用分数]]/60*tbl利用[[#This Row],[基準単価]])</f>
        <v/>
      </c>
      <c r="BN23" s="45" t="str">
        <f>IF(tbl利用[[#This Row],[日別区分キー]]="","",SUMIFS(tbl利用[処理後明細基準額],tbl利用[日別区分キー],tbl利用[[#This Row],[日別区分キー]]))</f>
        <v/>
      </c>
      <c r="BO23" s="45" t="str">
        <f>IF(tbl利用[[#This Row],[日別区分キー]]="","",ROUNDDOWN(MIN(tbl利用[[#This Row],[日別区分実支出額]],tbl利用[[#This Row],[日別区分処理後基準額]]),0))</f>
        <v/>
      </c>
      <c r="BP23" s="45" t="str">
        <f>IF(tbl利用[[#This Row],[日別区分キー]]="","",tbl利用[[#This Row],[日別区分処理前補助額]]-tbl利用[[#This Row],[日別区分補助額]])</f>
        <v/>
      </c>
      <c r="BQ23" s="45" t="str">
        <f>IF(OR(tbl利用[[#This Row],[日別区分キー]]="",tbl利用[[#This Row],[処理後利用分数]]&lt;=0),"",ROUNDDOWN(MIN(tbl利用[[#This Row],[日別区分実支出額]],tbl利用[[#This Row],[日別区分処理後基準額]]-tbl利用[[#This Row],[基準単価]]/60),0))</f>
        <v/>
      </c>
      <c r="BR23" s="52" t="str">
        <f>IF(tbl利用[[#This Row],[次の1分切捨時補助額]]="","",tbl利用[[#This Row],[日別区分補助額]]-tbl利用[[#This Row],[次の1分切捨時補助額]])</f>
        <v/>
      </c>
      <c r="BS23" s="45" t="str">
        <f>IF(tbl利用[[#This Row],[日別区分キー]]="","",--(COUNTIF(INDEX(tbl利用[日別区分キー],1):tbl利用[[#This Row],[日別区分キー]],tbl利用[[#This Row],[日別区分キー]])=1))</f>
        <v/>
      </c>
      <c r="BT23" s="45" t="str">
        <f>IF(tbl利用[[#This Row],[利用区分]]="","",SUMIFS(tbl利用[利用分数],tbl利用[利用区分],tbl利用[[#This Row],[利用区分]]))</f>
        <v/>
      </c>
      <c r="BU23" s="45" t="str">
        <f>IF(tbl利用[[#This Row],[利用区分]]="","",MOD(tbl利用[[#This Row],[区分総利用分数]],60))</f>
        <v/>
      </c>
      <c r="BV23" s="45" t="str">
        <f>IF(tbl利用[[#This Row],[利用区分]]="","",SUMIFS(tbl利用[切捨分数],tbl利用[利用区分],tbl利用[[#This Row],[利用区分]]))</f>
        <v/>
      </c>
      <c r="BW23" s="45" t="str">
        <f>IF(tbl利用[[#This Row],[利用区分]]="","",IF(tbl利用[[#This Row],[区分必要切捨分数]]=tbl利用[[#This Row],[区分入力切捨合計]],"OK","要確認"))</f>
        <v/>
      </c>
      <c r="BX23"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23" s="46"/>
    </row>
    <row r="24" spans="1:77" s="1" customFormat="1" ht="28.5" customHeight="1" x14ac:dyDescent="0.4">
      <c r="A24" s="19">
        <v>17</v>
      </c>
      <c r="B24" s="75"/>
      <c r="C24" s="76"/>
      <c r="D24" s="76"/>
      <c r="E24" s="76"/>
      <c r="F24" s="74"/>
      <c r="G24" s="13"/>
      <c r="H24" s="22" t="s">
        <v>8</v>
      </c>
      <c r="I24" s="14"/>
      <c r="J24" s="22" t="s">
        <v>9</v>
      </c>
      <c r="K24" s="14"/>
      <c r="L24" s="22" t="s">
        <v>8</v>
      </c>
      <c r="M24" s="14"/>
      <c r="N24" s="2" t="str">
        <f t="shared" ref="N24:N27" si="17">IF(OR(ISBLANK(G24),ISBLANK(I24),ISBLANK(K24),ISBLANK(M24)),"",IF(IF(M24-I24&lt;0,K24-G24-1,K24-G24)&lt;0,"エラー",IF(M24-I24&lt;0,K24-G24-1,K24-G24)))</f>
        <v/>
      </c>
      <c r="O24" s="22" t="s">
        <v>10</v>
      </c>
      <c r="P24" s="22" t="str">
        <f t="shared" ref="P24:P27" si="18">IF(OR(ISBLANK(G24),ISBLANK(I24),ISBLANK(K24),ISBLANK(M24)),"",IF(N24="エラー","エラー",IF(M24-I24&lt;0,M24-I24+60,M24-I24)))</f>
        <v/>
      </c>
      <c r="Q24" s="3" t="s">
        <v>11</v>
      </c>
      <c r="R24" s="79"/>
      <c r="S24" s="80"/>
      <c r="T24" s="4" t="s">
        <v>12</v>
      </c>
      <c r="U24" s="79"/>
      <c r="V24" s="80"/>
      <c r="W24" s="4" t="s">
        <v>12</v>
      </c>
      <c r="X24" s="80"/>
      <c r="Y24" s="81"/>
      <c r="Z24" s="4" t="s">
        <v>12</v>
      </c>
      <c r="AA24" s="15"/>
      <c r="AB24" s="5" t="str">
        <f t="shared" ref="AB24:AB27" si="19">IF(K24&lt;7,"",IF(G24&gt;22,0,IF(G24&lt;7,7,G24)))</f>
        <v/>
      </c>
      <c r="AC24" s="20" t="s">
        <v>8</v>
      </c>
      <c r="AD24" s="6" t="str">
        <f t="shared" ref="AD24:AD27" si="20">IF(AB24="","",IF(G24&gt;21,0,IF(G24&lt;7,0,I24)))</f>
        <v/>
      </c>
      <c r="AE24" s="20" t="s">
        <v>9</v>
      </c>
      <c r="AF24" s="6" t="str">
        <f t="shared" ref="AF24:AF27" si="21">IF(AB24="","",IF(G24&gt;22,"",IF(K24&gt;22,22,IF(K24&lt;7,0,K24))))</f>
        <v/>
      </c>
      <c r="AG24" s="20" t="s">
        <v>8</v>
      </c>
      <c r="AH24" s="6" t="str">
        <f t="shared" ref="AH24:AH27" si="22">IF(AB24="","",IF(K24&gt;21,0,IF(K24&lt;7,0,M24)))</f>
        <v/>
      </c>
      <c r="AI24" s="7" t="str">
        <f t="shared" ref="AI24:AI27" si="23">IFERROR(IF(OR(ISBLANK(AB24),ISBLANK(AD24),ISBLANK(AF24),ISBLANK(AH24)),"",IF(AH24-AD24&lt;0,AF24-AB24-1,AF24-AB24)),"")</f>
        <v/>
      </c>
      <c r="AJ24" s="20" t="s">
        <v>10</v>
      </c>
      <c r="AK24" s="8" t="str">
        <f t="shared" ref="AK24:AK27" si="24">IFERROR(IF(OR(ISBLANK(AB24),ISBLANK(AD24),ISBLANK(AF24),ISBLANK(AH24)),"",IF(AH24-AD24&lt;0,AH24-AD24+60,AH24-AD24)),"")</f>
        <v/>
      </c>
      <c r="AL24" s="9" t="s">
        <v>11</v>
      </c>
      <c r="AM24" s="7" t="str">
        <f t="shared" ref="AM24:AM27" si="25">IF(AI24="",N24,IFERROR(IF(P24-AK24&lt;0,N24-AI24-1,N24-AI24),""))</f>
        <v/>
      </c>
      <c r="AN24" s="20" t="s">
        <v>10</v>
      </c>
      <c r="AO24" s="8" t="str">
        <f t="shared" ref="AO24:AO27" si="26">IF(AK24="",P24,IFERROR(IF(P24-AK24&lt;0,P24-AK24+60,P24-AK24),""))</f>
        <v/>
      </c>
      <c r="AP24" s="10" t="s">
        <v>11</v>
      </c>
      <c r="AQ24" s="15" t="str" cm="1">
        <f t="array" ref="AQ24">IF(tbl利用[[#This Row],[利用日]]="","",ROW()-ROW(tbl利用[#Headers]))</f>
        <v/>
      </c>
      <c r="AR24" s="32" t="str">
        <f t="shared" si="11"/>
        <v/>
      </c>
      <c r="AS24" s="15"/>
      <c r="AT24" s="43" t="str">
        <f t="shared" si="12"/>
        <v/>
      </c>
      <c r="AU24" s="1" t="str">
        <f t="shared" si="13"/>
        <v/>
      </c>
      <c r="AV24" s="1" t="str">
        <f t="shared" si="14"/>
        <v/>
      </c>
      <c r="AW24" s="1" t="str">
        <f>IF(tbl利用[[#This Row],[利用日]]="","",N(tbl利用[[#This Row],[利用時間_時]])*60+N(tbl利用[[#This Row],[利用時間_分]]))</f>
        <v/>
      </c>
      <c r="AX24" s="44" t="str">
        <f t="shared" si="15"/>
        <v/>
      </c>
      <c r="AY24" s="44" t="str">
        <f t="shared" si="1"/>
        <v/>
      </c>
      <c r="AZ24" s="45" t="str">
        <f>IF(tbl利用[[#This Row],[利用日]]="","",MAX(0,N(tbl利用[[#This Row],[割引前利用額]])-N(tbl利用[[#This Row],[割引額]])))</f>
        <v/>
      </c>
      <c r="BA24" s="45" t="str">
        <f>IF(OR(tbl利用[[#This Row],[利用日]]="",tbl利用[[#This Row],[利用分数]]&lt;=0),"",N(tbl利用[[#This Row],[割引前利用額]])/tbl利用[[#This Row],[利用分数]]*60)</f>
        <v/>
      </c>
      <c r="BB24" s="45" t="str">
        <f>IF(tbl利用[[#This Row],[利用区分]]="","",_xlfn.XLOOKUP(tbl利用[[#This Row],[利用区分]],$AQ$4:$AQ$5,$AR$4:$AR$5,"区分未登録"))</f>
        <v/>
      </c>
      <c r="BC24" s="45" t="str">
        <f>IF(OR(tbl利用[[#This Row],[通常時間単価]]="",NOT(ISNUMBER(tbl利用[[#This Row],[上限単価]]))),"",MIN(tbl利用[[#This Row],[通常時間単価]],tbl利用[[#This Row],[上限単価]]))</f>
        <v/>
      </c>
      <c r="BD24" s="45" t="str">
        <f>IF(tbl利用[[#This Row],[利用日]]="","",tbl利用[[#This Row],[利用分数]]/60*tbl利用[[#This Row],[基準単価]])</f>
        <v/>
      </c>
      <c r="BE24" s="45" t="str">
        <f>IF(OR(tbl利用[[#This Row],[利用日]]="",tbl利用[[#This Row],[利用区分]]=""),"",TEXT(tbl利用[[#This Row],[利用日]],"yyyymmdd")&amp;"|"&amp;tbl利用[[#This Row],[利用区分]])</f>
        <v/>
      </c>
      <c r="BF24" s="45" t="str">
        <f>IF(tbl利用[[#This Row],[日別区分キー]]="","",SUMIFS(tbl利用[明細実支出額],tbl利用[日別区分キー],tbl利用[[#This Row],[日別区分キー]]))</f>
        <v/>
      </c>
      <c r="BG24" s="45" t="str">
        <f>IF(tbl利用[[#This Row],[日別区分キー]]="","",SUMIFS(tbl利用[処理前明細基準額],tbl利用[日別区分キー],tbl利用[[#This Row],[日別区分キー]]))</f>
        <v/>
      </c>
      <c r="BH24" s="45" t="str">
        <f>IF(tbl利用[[#This Row],[日別区分キー]]="","",ROUNDDOWN(MIN(tbl利用[[#This Row],[日別区分実支出額]],tbl利用[[#This Row],[日別区分処理前基準額]]),0))</f>
        <v/>
      </c>
      <c r="BI24" s="45" t="str">
        <f>IF(tbl利用[[#This Row],[日別区分キー]]="","",MAX(0,tbl利用[[#This Row],[日別区分処理前基準額]]-tbl利用[[#This Row],[日別区分実支出額]]))</f>
        <v/>
      </c>
      <c r="BJ24" s="45">
        <f>IF(OR(tbl利用[[#This Row],[利用日]]="",tbl利用[[#This Row],[基準単価]]&lt;=0),0,MIN(tbl利用[[#This Row],[利用分数]],ROUNDDOWN(tbl利用[[#This Row],[日別区分余裕額]]/(tbl利用[[#This Row],[基準単価]]/60),0)))</f>
        <v>0</v>
      </c>
      <c r="BK24" s="50"/>
      <c r="BL24" s="45" t="str">
        <f>IF(tbl利用[[#This Row],[利用日]]="","",MAX(0,tbl利用[[#This Row],[利用分数]]-N(tbl利用[[#This Row],[切捨分数]])))</f>
        <v/>
      </c>
      <c r="BM24" s="45" t="str">
        <f>IF(tbl利用[[#This Row],[利用日]]="","",tbl利用[[#This Row],[処理後利用分数]]/60*tbl利用[[#This Row],[基準単価]])</f>
        <v/>
      </c>
      <c r="BN24" s="45" t="str">
        <f>IF(tbl利用[[#This Row],[日別区分キー]]="","",SUMIFS(tbl利用[処理後明細基準額],tbl利用[日別区分キー],tbl利用[[#This Row],[日別区分キー]]))</f>
        <v/>
      </c>
      <c r="BO24" s="45" t="str">
        <f>IF(tbl利用[[#This Row],[日別区分キー]]="","",ROUNDDOWN(MIN(tbl利用[[#This Row],[日別区分実支出額]],tbl利用[[#This Row],[日別区分処理後基準額]]),0))</f>
        <v/>
      </c>
      <c r="BP24" s="45" t="str">
        <f>IF(tbl利用[[#This Row],[日別区分キー]]="","",tbl利用[[#This Row],[日別区分処理前補助額]]-tbl利用[[#This Row],[日別区分補助額]])</f>
        <v/>
      </c>
      <c r="BQ24" s="45" t="str">
        <f>IF(OR(tbl利用[[#This Row],[日別区分キー]]="",tbl利用[[#This Row],[処理後利用分数]]&lt;=0),"",ROUNDDOWN(MIN(tbl利用[[#This Row],[日別区分実支出額]],tbl利用[[#This Row],[日別区分処理後基準額]]-tbl利用[[#This Row],[基準単価]]/60),0))</f>
        <v/>
      </c>
      <c r="BR24" s="52" t="str">
        <f>IF(tbl利用[[#This Row],[次の1分切捨時補助額]]="","",tbl利用[[#This Row],[日別区分補助額]]-tbl利用[[#This Row],[次の1分切捨時補助額]])</f>
        <v/>
      </c>
      <c r="BS24" s="45" t="str">
        <f>IF(tbl利用[[#This Row],[日別区分キー]]="","",--(COUNTIF(INDEX(tbl利用[日別区分キー],1):tbl利用[[#This Row],[日別区分キー]],tbl利用[[#This Row],[日別区分キー]])=1))</f>
        <v/>
      </c>
      <c r="BT24" s="45" t="str">
        <f>IF(tbl利用[[#This Row],[利用区分]]="","",SUMIFS(tbl利用[利用分数],tbl利用[利用区分],tbl利用[[#This Row],[利用区分]]))</f>
        <v/>
      </c>
      <c r="BU24" s="45" t="str">
        <f>IF(tbl利用[[#This Row],[利用区分]]="","",MOD(tbl利用[[#This Row],[区分総利用分数]],60))</f>
        <v/>
      </c>
      <c r="BV24" s="45" t="str">
        <f>IF(tbl利用[[#This Row],[利用区分]]="","",SUMIFS(tbl利用[切捨分数],tbl利用[利用区分],tbl利用[[#This Row],[利用区分]]))</f>
        <v/>
      </c>
      <c r="BW24" s="45" t="str">
        <f>IF(tbl利用[[#This Row],[利用区分]]="","",IF(tbl利用[[#This Row],[区分必要切捨分数]]=tbl利用[[#This Row],[区分入力切捨合計]],"OK","要確認"))</f>
        <v/>
      </c>
      <c r="BX24"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24" s="46"/>
    </row>
    <row r="25" spans="1:77" s="1" customFormat="1" ht="28.5" customHeight="1" x14ac:dyDescent="0.4">
      <c r="A25" s="19">
        <v>18</v>
      </c>
      <c r="B25" s="75"/>
      <c r="C25" s="76"/>
      <c r="D25" s="76"/>
      <c r="E25" s="76"/>
      <c r="F25" s="74"/>
      <c r="G25" s="13"/>
      <c r="H25" s="22" t="s">
        <v>8</v>
      </c>
      <c r="I25" s="14"/>
      <c r="J25" s="22" t="s">
        <v>9</v>
      </c>
      <c r="K25" s="14"/>
      <c r="L25" s="22" t="s">
        <v>8</v>
      </c>
      <c r="M25" s="14"/>
      <c r="N25" s="2" t="str">
        <f t="shared" si="17"/>
        <v/>
      </c>
      <c r="O25" s="22" t="s">
        <v>10</v>
      </c>
      <c r="P25" s="22" t="str">
        <f t="shared" si="18"/>
        <v/>
      </c>
      <c r="Q25" s="3" t="s">
        <v>11</v>
      </c>
      <c r="R25" s="79"/>
      <c r="S25" s="80"/>
      <c r="T25" s="4" t="s">
        <v>12</v>
      </c>
      <c r="U25" s="79"/>
      <c r="V25" s="80"/>
      <c r="W25" s="4" t="s">
        <v>12</v>
      </c>
      <c r="X25" s="80"/>
      <c r="Y25" s="81"/>
      <c r="Z25" s="4" t="s">
        <v>12</v>
      </c>
      <c r="AA25" s="15"/>
      <c r="AB25" s="5" t="str">
        <f t="shared" si="19"/>
        <v/>
      </c>
      <c r="AC25" s="20" t="s">
        <v>8</v>
      </c>
      <c r="AD25" s="6" t="str">
        <f t="shared" si="20"/>
        <v/>
      </c>
      <c r="AE25" s="20" t="s">
        <v>9</v>
      </c>
      <c r="AF25" s="6" t="str">
        <f t="shared" si="21"/>
        <v/>
      </c>
      <c r="AG25" s="20" t="s">
        <v>8</v>
      </c>
      <c r="AH25" s="6" t="str">
        <f t="shared" si="22"/>
        <v/>
      </c>
      <c r="AI25" s="7" t="str">
        <f t="shared" si="23"/>
        <v/>
      </c>
      <c r="AJ25" s="20" t="s">
        <v>10</v>
      </c>
      <c r="AK25" s="8" t="str">
        <f t="shared" si="24"/>
        <v/>
      </c>
      <c r="AL25" s="9" t="s">
        <v>11</v>
      </c>
      <c r="AM25" s="7" t="str">
        <f t="shared" si="25"/>
        <v/>
      </c>
      <c r="AN25" s="20" t="s">
        <v>10</v>
      </c>
      <c r="AO25" s="8" t="str">
        <f t="shared" si="26"/>
        <v/>
      </c>
      <c r="AP25" s="10" t="s">
        <v>11</v>
      </c>
      <c r="AQ25" s="15" t="str" cm="1">
        <f t="array" ref="AQ25">IF(tbl利用[[#This Row],[利用日]]="","",ROW()-ROW(tbl利用[#Headers]))</f>
        <v/>
      </c>
      <c r="AR25" s="32" t="str">
        <f t="shared" si="11"/>
        <v/>
      </c>
      <c r="AS25" s="15"/>
      <c r="AT25" s="43" t="str">
        <f t="shared" si="12"/>
        <v/>
      </c>
      <c r="AU25" s="1" t="str">
        <f t="shared" si="13"/>
        <v/>
      </c>
      <c r="AV25" s="1" t="str">
        <f t="shared" si="14"/>
        <v/>
      </c>
      <c r="AW25" s="1" t="str">
        <f>IF(tbl利用[[#This Row],[利用日]]="","",N(tbl利用[[#This Row],[利用時間_時]])*60+N(tbl利用[[#This Row],[利用時間_分]]))</f>
        <v/>
      </c>
      <c r="AX25" s="44" t="str">
        <f t="shared" si="15"/>
        <v/>
      </c>
      <c r="AY25" s="44" t="str">
        <f t="shared" si="1"/>
        <v/>
      </c>
      <c r="AZ25" s="45" t="str">
        <f>IF(tbl利用[[#This Row],[利用日]]="","",MAX(0,N(tbl利用[[#This Row],[割引前利用額]])-N(tbl利用[[#This Row],[割引額]])))</f>
        <v/>
      </c>
      <c r="BA25" s="45" t="str">
        <f>IF(OR(tbl利用[[#This Row],[利用日]]="",tbl利用[[#This Row],[利用分数]]&lt;=0),"",N(tbl利用[[#This Row],[割引前利用額]])/tbl利用[[#This Row],[利用分数]]*60)</f>
        <v/>
      </c>
      <c r="BB25" s="45" t="str">
        <f>IF(tbl利用[[#This Row],[利用区分]]="","",_xlfn.XLOOKUP(tbl利用[[#This Row],[利用区分]],$AQ$4:$AQ$5,$AR$4:$AR$5,"区分未登録"))</f>
        <v/>
      </c>
      <c r="BC25" s="45" t="str">
        <f>IF(OR(tbl利用[[#This Row],[通常時間単価]]="",NOT(ISNUMBER(tbl利用[[#This Row],[上限単価]]))),"",MIN(tbl利用[[#This Row],[通常時間単価]],tbl利用[[#This Row],[上限単価]]))</f>
        <v/>
      </c>
      <c r="BD25" s="45" t="str">
        <f>IF(tbl利用[[#This Row],[利用日]]="","",tbl利用[[#This Row],[利用分数]]/60*tbl利用[[#This Row],[基準単価]])</f>
        <v/>
      </c>
      <c r="BE25" s="45" t="str">
        <f>IF(OR(tbl利用[[#This Row],[利用日]]="",tbl利用[[#This Row],[利用区分]]=""),"",TEXT(tbl利用[[#This Row],[利用日]],"yyyymmdd")&amp;"|"&amp;tbl利用[[#This Row],[利用区分]])</f>
        <v/>
      </c>
      <c r="BF25" s="45" t="str">
        <f>IF(tbl利用[[#This Row],[日別区分キー]]="","",SUMIFS(tbl利用[明細実支出額],tbl利用[日別区分キー],tbl利用[[#This Row],[日別区分キー]]))</f>
        <v/>
      </c>
      <c r="BG25" s="45" t="str">
        <f>IF(tbl利用[[#This Row],[日別区分キー]]="","",SUMIFS(tbl利用[処理前明細基準額],tbl利用[日別区分キー],tbl利用[[#This Row],[日別区分キー]]))</f>
        <v/>
      </c>
      <c r="BH25" s="45" t="str">
        <f>IF(tbl利用[[#This Row],[日別区分キー]]="","",ROUNDDOWN(MIN(tbl利用[[#This Row],[日別区分実支出額]],tbl利用[[#This Row],[日別区分処理前基準額]]),0))</f>
        <v/>
      </c>
      <c r="BI25" s="45" t="str">
        <f>IF(tbl利用[[#This Row],[日別区分キー]]="","",MAX(0,tbl利用[[#This Row],[日別区分処理前基準額]]-tbl利用[[#This Row],[日別区分実支出額]]))</f>
        <v/>
      </c>
      <c r="BJ25" s="45">
        <f>IF(OR(tbl利用[[#This Row],[利用日]]="",tbl利用[[#This Row],[基準単価]]&lt;=0),0,MIN(tbl利用[[#This Row],[利用分数]],ROUNDDOWN(tbl利用[[#This Row],[日別区分余裕額]]/(tbl利用[[#This Row],[基準単価]]/60),0)))</f>
        <v>0</v>
      </c>
      <c r="BK25" s="50"/>
      <c r="BL25" s="45" t="str">
        <f>IF(tbl利用[[#This Row],[利用日]]="","",MAX(0,tbl利用[[#This Row],[利用分数]]-N(tbl利用[[#This Row],[切捨分数]])))</f>
        <v/>
      </c>
      <c r="BM25" s="45" t="str">
        <f>IF(tbl利用[[#This Row],[利用日]]="","",tbl利用[[#This Row],[処理後利用分数]]/60*tbl利用[[#This Row],[基準単価]])</f>
        <v/>
      </c>
      <c r="BN25" s="45" t="str">
        <f>IF(tbl利用[[#This Row],[日別区分キー]]="","",SUMIFS(tbl利用[処理後明細基準額],tbl利用[日別区分キー],tbl利用[[#This Row],[日別区分キー]]))</f>
        <v/>
      </c>
      <c r="BO25" s="45" t="str">
        <f>IF(tbl利用[[#This Row],[日別区分キー]]="","",ROUNDDOWN(MIN(tbl利用[[#This Row],[日別区分実支出額]],tbl利用[[#This Row],[日別区分処理後基準額]]),0))</f>
        <v/>
      </c>
      <c r="BP25" s="45" t="str">
        <f>IF(tbl利用[[#This Row],[日別区分キー]]="","",tbl利用[[#This Row],[日別区分処理前補助額]]-tbl利用[[#This Row],[日別区分補助額]])</f>
        <v/>
      </c>
      <c r="BQ25" s="45" t="str">
        <f>IF(OR(tbl利用[[#This Row],[日別区分キー]]="",tbl利用[[#This Row],[処理後利用分数]]&lt;=0),"",ROUNDDOWN(MIN(tbl利用[[#This Row],[日別区分実支出額]],tbl利用[[#This Row],[日別区分処理後基準額]]-tbl利用[[#This Row],[基準単価]]/60),0))</f>
        <v/>
      </c>
      <c r="BR25" s="52" t="str">
        <f>IF(tbl利用[[#This Row],[次の1分切捨時補助額]]="","",tbl利用[[#This Row],[日別区分補助額]]-tbl利用[[#This Row],[次の1分切捨時補助額]])</f>
        <v/>
      </c>
      <c r="BS25" s="45" t="str">
        <f>IF(tbl利用[[#This Row],[日別区分キー]]="","",--(COUNTIF(INDEX(tbl利用[日別区分キー],1):tbl利用[[#This Row],[日別区分キー]],tbl利用[[#This Row],[日別区分キー]])=1))</f>
        <v/>
      </c>
      <c r="BT25" s="45" t="str">
        <f>IF(tbl利用[[#This Row],[利用区分]]="","",SUMIFS(tbl利用[利用分数],tbl利用[利用区分],tbl利用[[#This Row],[利用区分]]))</f>
        <v/>
      </c>
      <c r="BU25" s="45" t="str">
        <f>IF(tbl利用[[#This Row],[利用区分]]="","",MOD(tbl利用[[#This Row],[区分総利用分数]],60))</f>
        <v/>
      </c>
      <c r="BV25" s="45" t="str">
        <f>IF(tbl利用[[#This Row],[利用区分]]="","",SUMIFS(tbl利用[切捨分数],tbl利用[利用区分],tbl利用[[#This Row],[利用区分]]))</f>
        <v/>
      </c>
      <c r="BW25" s="45" t="str">
        <f>IF(tbl利用[[#This Row],[利用区分]]="","",IF(tbl利用[[#This Row],[区分必要切捨分数]]=tbl利用[[#This Row],[区分入力切捨合計]],"OK","要確認"))</f>
        <v/>
      </c>
      <c r="BX25"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25" s="46"/>
    </row>
    <row r="26" spans="1:77" s="1" customFormat="1" ht="28.5" customHeight="1" x14ac:dyDescent="0.4">
      <c r="A26" s="19">
        <v>19</v>
      </c>
      <c r="B26" s="75"/>
      <c r="C26" s="76"/>
      <c r="D26" s="76"/>
      <c r="E26" s="76"/>
      <c r="F26" s="74"/>
      <c r="G26" s="13"/>
      <c r="H26" s="22" t="s">
        <v>8</v>
      </c>
      <c r="I26" s="14"/>
      <c r="J26" s="22" t="s">
        <v>9</v>
      </c>
      <c r="K26" s="14"/>
      <c r="L26" s="22" t="s">
        <v>8</v>
      </c>
      <c r="M26" s="14"/>
      <c r="N26" s="2" t="str">
        <f t="shared" si="17"/>
        <v/>
      </c>
      <c r="O26" s="22" t="s">
        <v>10</v>
      </c>
      <c r="P26" s="22" t="str">
        <f t="shared" si="18"/>
        <v/>
      </c>
      <c r="Q26" s="3" t="s">
        <v>11</v>
      </c>
      <c r="R26" s="79"/>
      <c r="S26" s="80"/>
      <c r="T26" s="4" t="s">
        <v>12</v>
      </c>
      <c r="U26" s="79"/>
      <c r="V26" s="80"/>
      <c r="W26" s="4" t="s">
        <v>12</v>
      </c>
      <c r="X26" s="80"/>
      <c r="Y26" s="81"/>
      <c r="Z26" s="4" t="s">
        <v>12</v>
      </c>
      <c r="AA26" s="15"/>
      <c r="AB26" s="5" t="str">
        <f t="shared" si="19"/>
        <v/>
      </c>
      <c r="AC26" s="20" t="s">
        <v>8</v>
      </c>
      <c r="AD26" s="6" t="str">
        <f t="shared" si="20"/>
        <v/>
      </c>
      <c r="AE26" s="20" t="s">
        <v>9</v>
      </c>
      <c r="AF26" s="6" t="str">
        <f t="shared" si="21"/>
        <v/>
      </c>
      <c r="AG26" s="20" t="s">
        <v>8</v>
      </c>
      <c r="AH26" s="6" t="str">
        <f t="shared" si="22"/>
        <v/>
      </c>
      <c r="AI26" s="7" t="str">
        <f t="shared" si="23"/>
        <v/>
      </c>
      <c r="AJ26" s="20" t="s">
        <v>10</v>
      </c>
      <c r="AK26" s="8" t="str">
        <f t="shared" si="24"/>
        <v/>
      </c>
      <c r="AL26" s="9" t="s">
        <v>11</v>
      </c>
      <c r="AM26" s="7" t="str">
        <f t="shared" si="25"/>
        <v/>
      </c>
      <c r="AN26" s="20" t="s">
        <v>10</v>
      </c>
      <c r="AO26" s="8" t="str">
        <f t="shared" si="26"/>
        <v/>
      </c>
      <c r="AP26" s="10" t="s">
        <v>11</v>
      </c>
      <c r="AQ26" s="15" t="str" cm="1">
        <f t="array" ref="AQ26">IF(tbl利用[[#This Row],[利用日]]="","",ROW()-ROW(tbl利用[#Headers]))</f>
        <v/>
      </c>
      <c r="AR26" s="32" t="str">
        <f t="shared" si="11"/>
        <v/>
      </c>
      <c r="AS26" s="15"/>
      <c r="AT26" s="43" t="str">
        <f t="shared" si="12"/>
        <v/>
      </c>
      <c r="AU26" s="1" t="str">
        <f t="shared" si="13"/>
        <v/>
      </c>
      <c r="AV26" s="1" t="str">
        <f t="shared" si="14"/>
        <v/>
      </c>
      <c r="AW26" s="1" t="str">
        <f>IF(tbl利用[[#This Row],[利用日]]="","",N(tbl利用[[#This Row],[利用時間_時]])*60+N(tbl利用[[#This Row],[利用時間_分]]))</f>
        <v/>
      </c>
      <c r="AX26" s="44" t="str">
        <f t="shared" si="15"/>
        <v/>
      </c>
      <c r="AY26" s="44" t="str">
        <f t="shared" si="1"/>
        <v/>
      </c>
      <c r="AZ26" s="45" t="str">
        <f>IF(tbl利用[[#This Row],[利用日]]="","",MAX(0,N(tbl利用[[#This Row],[割引前利用額]])-N(tbl利用[[#This Row],[割引額]])))</f>
        <v/>
      </c>
      <c r="BA26" s="45" t="str">
        <f>IF(OR(tbl利用[[#This Row],[利用日]]="",tbl利用[[#This Row],[利用分数]]&lt;=0),"",N(tbl利用[[#This Row],[割引前利用額]])/tbl利用[[#This Row],[利用分数]]*60)</f>
        <v/>
      </c>
      <c r="BB26" s="45" t="str">
        <f>IF(tbl利用[[#This Row],[利用区分]]="","",_xlfn.XLOOKUP(tbl利用[[#This Row],[利用区分]],$AQ$4:$AQ$5,$AR$4:$AR$5,"区分未登録"))</f>
        <v/>
      </c>
      <c r="BC26" s="45" t="str">
        <f>IF(OR(tbl利用[[#This Row],[通常時間単価]]="",NOT(ISNUMBER(tbl利用[[#This Row],[上限単価]]))),"",MIN(tbl利用[[#This Row],[通常時間単価]],tbl利用[[#This Row],[上限単価]]))</f>
        <v/>
      </c>
      <c r="BD26" s="45" t="str">
        <f>IF(tbl利用[[#This Row],[利用日]]="","",tbl利用[[#This Row],[利用分数]]/60*tbl利用[[#This Row],[基準単価]])</f>
        <v/>
      </c>
      <c r="BE26" s="45" t="str">
        <f>IF(OR(tbl利用[[#This Row],[利用日]]="",tbl利用[[#This Row],[利用区分]]=""),"",TEXT(tbl利用[[#This Row],[利用日]],"yyyymmdd")&amp;"|"&amp;tbl利用[[#This Row],[利用区分]])</f>
        <v/>
      </c>
      <c r="BF26" s="45" t="str">
        <f>IF(tbl利用[[#This Row],[日別区分キー]]="","",SUMIFS(tbl利用[明細実支出額],tbl利用[日別区分キー],tbl利用[[#This Row],[日別区分キー]]))</f>
        <v/>
      </c>
      <c r="BG26" s="45" t="str">
        <f>IF(tbl利用[[#This Row],[日別区分キー]]="","",SUMIFS(tbl利用[処理前明細基準額],tbl利用[日別区分キー],tbl利用[[#This Row],[日別区分キー]]))</f>
        <v/>
      </c>
      <c r="BH26" s="45" t="str">
        <f>IF(tbl利用[[#This Row],[日別区分キー]]="","",ROUNDDOWN(MIN(tbl利用[[#This Row],[日別区分実支出額]],tbl利用[[#This Row],[日別区分処理前基準額]]),0))</f>
        <v/>
      </c>
      <c r="BI26" s="45" t="str">
        <f>IF(tbl利用[[#This Row],[日別区分キー]]="","",MAX(0,tbl利用[[#This Row],[日別区分処理前基準額]]-tbl利用[[#This Row],[日別区分実支出額]]))</f>
        <v/>
      </c>
      <c r="BJ26" s="45">
        <f>IF(OR(tbl利用[[#This Row],[利用日]]="",tbl利用[[#This Row],[基準単価]]&lt;=0),0,MIN(tbl利用[[#This Row],[利用分数]],ROUNDDOWN(tbl利用[[#This Row],[日別区分余裕額]]/(tbl利用[[#This Row],[基準単価]]/60),0)))</f>
        <v>0</v>
      </c>
      <c r="BK26" s="50"/>
      <c r="BL26" s="45" t="str">
        <f>IF(tbl利用[[#This Row],[利用日]]="","",MAX(0,tbl利用[[#This Row],[利用分数]]-N(tbl利用[[#This Row],[切捨分数]])))</f>
        <v/>
      </c>
      <c r="BM26" s="45" t="str">
        <f>IF(tbl利用[[#This Row],[利用日]]="","",tbl利用[[#This Row],[処理後利用分数]]/60*tbl利用[[#This Row],[基準単価]])</f>
        <v/>
      </c>
      <c r="BN26" s="45" t="str">
        <f>IF(tbl利用[[#This Row],[日別区分キー]]="","",SUMIFS(tbl利用[処理後明細基準額],tbl利用[日別区分キー],tbl利用[[#This Row],[日別区分キー]]))</f>
        <v/>
      </c>
      <c r="BO26" s="45" t="str">
        <f>IF(tbl利用[[#This Row],[日別区分キー]]="","",ROUNDDOWN(MIN(tbl利用[[#This Row],[日別区分実支出額]],tbl利用[[#This Row],[日別区分処理後基準額]]),0))</f>
        <v/>
      </c>
      <c r="BP26" s="45" t="str">
        <f>IF(tbl利用[[#This Row],[日別区分キー]]="","",tbl利用[[#This Row],[日別区分処理前補助額]]-tbl利用[[#This Row],[日別区分補助額]])</f>
        <v/>
      </c>
      <c r="BQ26" s="45" t="str">
        <f>IF(OR(tbl利用[[#This Row],[日別区分キー]]="",tbl利用[[#This Row],[処理後利用分数]]&lt;=0),"",ROUNDDOWN(MIN(tbl利用[[#This Row],[日別区分実支出額]],tbl利用[[#This Row],[日別区分処理後基準額]]-tbl利用[[#This Row],[基準単価]]/60),0))</f>
        <v/>
      </c>
      <c r="BR26" s="52" t="str">
        <f>IF(tbl利用[[#This Row],[次の1分切捨時補助額]]="","",tbl利用[[#This Row],[日別区分補助額]]-tbl利用[[#This Row],[次の1分切捨時補助額]])</f>
        <v/>
      </c>
      <c r="BS26" s="45" t="str">
        <f>IF(tbl利用[[#This Row],[日別区分キー]]="","",--(COUNTIF(INDEX(tbl利用[日別区分キー],1):tbl利用[[#This Row],[日別区分キー]],tbl利用[[#This Row],[日別区分キー]])=1))</f>
        <v/>
      </c>
      <c r="BT26" s="45" t="str">
        <f>IF(tbl利用[[#This Row],[利用区分]]="","",SUMIFS(tbl利用[利用分数],tbl利用[利用区分],tbl利用[[#This Row],[利用区分]]))</f>
        <v/>
      </c>
      <c r="BU26" s="45" t="str">
        <f>IF(tbl利用[[#This Row],[利用区分]]="","",MOD(tbl利用[[#This Row],[区分総利用分数]],60))</f>
        <v/>
      </c>
      <c r="BV26" s="45" t="str">
        <f>IF(tbl利用[[#This Row],[利用区分]]="","",SUMIFS(tbl利用[切捨分数],tbl利用[利用区分],tbl利用[[#This Row],[利用区分]]))</f>
        <v/>
      </c>
      <c r="BW26" s="45" t="str">
        <f>IF(tbl利用[[#This Row],[利用区分]]="","",IF(tbl利用[[#This Row],[区分必要切捨分数]]=tbl利用[[#This Row],[区分入力切捨合計]],"OK","要確認"))</f>
        <v/>
      </c>
      <c r="BX26"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26" s="46"/>
    </row>
    <row r="27" spans="1:77" s="1" customFormat="1" ht="28.5" customHeight="1" x14ac:dyDescent="0.4">
      <c r="A27" s="19">
        <v>20</v>
      </c>
      <c r="B27" s="75"/>
      <c r="C27" s="76"/>
      <c r="D27" s="76"/>
      <c r="E27" s="76"/>
      <c r="F27" s="74"/>
      <c r="G27" s="13"/>
      <c r="H27" s="22" t="s">
        <v>8</v>
      </c>
      <c r="I27" s="14"/>
      <c r="J27" s="22" t="s">
        <v>9</v>
      </c>
      <c r="K27" s="14"/>
      <c r="L27" s="22" t="s">
        <v>8</v>
      </c>
      <c r="M27" s="14"/>
      <c r="N27" s="2" t="str">
        <f t="shared" si="17"/>
        <v/>
      </c>
      <c r="O27" s="22" t="s">
        <v>10</v>
      </c>
      <c r="P27" s="22" t="str">
        <f t="shared" si="18"/>
        <v/>
      </c>
      <c r="Q27" s="3" t="s">
        <v>11</v>
      </c>
      <c r="R27" s="79"/>
      <c r="S27" s="80"/>
      <c r="T27" s="4" t="s">
        <v>12</v>
      </c>
      <c r="U27" s="79"/>
      <c r="V27" s="80"/>
      <c r="W27" s="4" t="s">
        <v>12</v>
      </c>
      <c r="X27" s="80"/>
      <c r="Y27" s="81"/>
      <c r="Z27" s="4" t="s">
        <v>12</v>
      </c>
      <c r="AA27" s="15"/>
      <c r="AB27" s="5" t="str">
        <f t="shared" si="19"/>
        <v/>
      </c>
      <c r="AC27" s="20" t="s">
        <v>8</v>
      </c>
      <c r="AD27" s="6" t="str">
        <f t="shared" si="20"/>
        <v/>
      </c>
      <c r="AE27" s="20" t="s">
        <v>9</v>
      </c>
      <c r="AF27" s="6" t="str">
        <f t="shared" si="21"/>
        <v/>
      </c>
      <c r="AG27" s="20" t="s">
        <v>8</v>
      </c>
      <c r="AH27" s="6" t="str">
        <f t="shared" si="22"/>
        <v/>
      </c>
      <c r="AI27" s="7" t="str">
        <f t="shared" si="23"/>
        <v/>
      </c>
      <c r="AJ27" s="20" t="s">
        <v>10</v>
      </c>
      <c r="AK27" s="8" t="str">
        <f t="shared" si="24"/>
        <v/>
      </c>
      <c r="AL27" s="9" t="s">
        <v>11</v>
      </c>
      <c r="AM27" s="7" t="str">
        <f t="shared" si="25"/>
        <v/>
      </c>
      <c r="AN27" s="20" t="s">
        <v>10</v>
      </c>
      <c r="AO27" s="8" t="str">
        <f t="shared" si="26"/>
        <v/>
      </c>
      <c r="AP27" s="10" t="s">
        <v>11</v>
      </c>
      <c r="AQ27" s="15" t="str" cm="1">
        <f t="array" ref="AQ27">IF(tbl利用[[#This Row],[利用日]]="","",ROW()-ROW(tbl利用[#Headers]))</f>
        <v/>
      </c>
      <c r="AR27" s="32" t="str">
        <f t="shared" si="11"/>
        <v/>
      </c>
      <c r="AS27" s="15"/>
      <c r="AT27" s="43" t="str">
        <f t="shared" si="12"/>
        <v/>
      </c>
      <c r="AU27" s="1" t="str">
        <f t="shared" si="13"/>
        <v/>
      </c>
      <c r="AV27" s="1" t="str">
        <f t="shared" si="14"/>
        <v/>
      </c>
      <c r="AW27" s="1" t="str">
        <f>IF(tbl利用[[#This Row],[利用日]]="","",N(tbl利用[[#This Row],[利用時間_時]])*60+N(tbl利用[[#This Row],[利用時間_分]]))</f>
        <v/>
      </c>
      <c r="AX27" s="44" t="str">
        <f t="shared" si="15"/>
        <v/>
      </c>
      <c r="AY27" s="44" t="str">
        <f t="shared" si="1"/>
        <v/>
      </c>
      <c r="AZ27" s="45" t="str">
        <f>IF(tbl利用[[#This Row],[利用日]]="","",MAX(0,N(tbl利用[[#This Row],[割引前利用額]])-N(tbl利用[[#This Row],[割引額]])))</f>
        <v/>
      </c>
      <c r="BA27" s="45" t="str">
        <f>IF(OR(tbl利用[[#This Row],[利用日]]="",tbl利用[[#This Row],[利用分数]]&lt;=0),"",N(tbl利用[[#This Row],[割引前利用額]])/tbl利用[[#This Row],[利用分数]]*60)</f>
        <v/>
      </c>
      <c r="BB27" s="45" t="str">
        <f>IF(tbl利用[[#This Row],[利用区分]]="","",_xlfn.XLOOKUP(tbl利用[[#This Row],[利用区分]],$AQ$4:$AQ$5,$AR$4:$AR$5,"区分未登録"))</f>
        <v/>
      </c>
      <c r="BC27" s="45" t="str">
        <f>IF(OR(tbl利用[[#This Row],[通常時間単価]]="",NOT(ISNUMBER(tbl利用[[#This Row],[上限単価]]))),"",MIN(tbl利用[[#This Row],[通常時間単価]],tbl利用[[#This Row],[上限単価]]))</f>
        <v/>
      </c>
      <c r="BD27" s="45" t="str">
        <f>IF(tbl利用[[#This Row],[利用日]]="","",tbl利用[[#This Row],[利用分数]]/60*tbl利用[[#This Row],[基準単価]])</f>
        <v/>
      </c>
      <c r="BE27" s="45" t="str">
        <f>IF(OR(tbl利用[[#This Row],[利用日]]="",tbl利用[[#This Row],[利用区分]]=""),"",TEXT(tbl利用[[#This Row],[利用日]],"yyyymmdd")&amp;"|"&amp;tbl利用[[#This Row],[利用区分]])</f>
        <v/>
      </c>
      <c r="BF27" s="45" t="str">
        <f>IF(tbl利用[[#This Row],[日別区分キー]]="","",SUMIFS(tbl利用[明細実支出額],tbl利用[日別区分キー],tbl利用[[#This Row],[日別区分キー]]))</f>
        <v/>
      </c>
      <c r="BG27" s="45" t="str">
        <f>IF(tbl利用[[#This Row],[日別区分キー]]="","",SUMIFS(tbl利用[処理前明細基準額],tbl利用[日別区分キー],tbl利用[[#This Row],[日別区分キー]]))</f>
        <v/>
      </c>
      <c r="BH27" s="45" t="str">
        <f>IF(tbl利用[[#This Row],[日別区分キー]]="","",ROUNDDOWN(MIN(tbl利用[[#This Row],[日別区分実支出額]],tbl利用[[#This Row],[日別区分処理前基準額]]),0))</f>
        <v/>
      </c>
      <c r="BI27" s="45" t="str">
        <f>IF(tbl利用[[#This Row],[日別区分キー]]="","",MAX(0,tbl利用[[#This Row],[日別区分処理前基準額]]-tbl利用[[#This Row],[日別区分実支出額]]))</f>
        <v/>
      </c>
      <c r="BJ27" s="45">
        <f>IF(OR(tbl利用[[#This Row],[利用日]]="",tbl利用[[#This Row],[基準単価]]&lt;=0),0,MIN(tbl利用[[#This Row],[利用分数]],ROUNDDOWN(tbl利用[[#This Row],[日別区分余裕額]]/(tbl利用[[#This Row],[基準単価]]/60),0)))</f>
        <v>0</v>
      </c>
      <c r="BK27" s="50"/>
      <c r="BL27" s="45" t="str">
        <f>IF(tbl利用[[#This Row],[利用日]]="","",MAX(0,tbl利用[[#This Row],[利用分数]]-N(tbl利用[[#This Row],[切捨分数]])))</f>
        <v/>
      </c>
      <c r="BM27" s="45" t="str">
        <f>IF(tbl利用[[#This Row],[利用日]]="","",tbl利用[[#This Row],[処理後利用分数]]/60*tbl利用[[#This Row],[基準単価]])</f>
        <v/>
      </c>
      <c r="BN27" s="45" t="str">
        <f>IF(tbl利用[[#This Row],[日別区分キー]]="","",SUMIFS(tbl利用[処理後明細基準額],tbl利用[日別区分キー],tbl利用[[#This Row],[日別区分キー]]))</f>
        <v/>
      </c>
      <c r="BO27" s="45" t="str">
        <f>IF(tbl利用[[#This Row],[日別区分キー]]="","",ROUNDDOWN(MIN(tbl利用[[#This Row],[日別区分実支出額]],tbl利用[[#This Row],[日別区分処理後基準額]]),0))</f>
        <v/>
      </c>
      <c r="BP27" s="45" t="str">
        <f>IF(tbl利用[[#This Row],[日別区分キー]]="","",tbl利用[[#This Row],[日別区分処理前補助額]]-tbl利用[[#This Row],[日別区分補助額]])</f>
        <v/>
      </c>
      <c r="BQ27" s="45" t="str">
        <f>IF(OR(tbl利用[[#This Row],[日別区分キー]]="",tbl利用[[#This Row],[処理後利用分数]]&lt;=0),"",ROUNDDOWN(MIN(tbl利用[[#This Row],[日別区分実支出額]],tbl利用[[#This Row],[日別区分処理後基準額]]-tbl利用[[#This Row],[基準単価]]/60),0))</f>
        <v/>
      </c>
      <c r="BR27" s="52" t="str">
        <f>IF(tbl利用[[#This Row],[次の1分切捨時補助額]]="","",tbl利用[[#This Row],[日別区分補助額]]-tbl利用[[#This Row],[次の1分切捨時補助額]])</f>
        <v/>
      </c>
      <c r="BS27" s="45" t="str">
        <f>IF(tbl利用[[#This Row],[日別区分キー]]="","",--(COUNTIF(INDEX(tbl利用[日別区分キー],1):tbl利用[[#This Row],[日別区分キー]],tbl利用[[#This Row],[日別区分キー]])=1))</f>
        <v/>
      </c>
      <c r="BT27" s="45" t="str">
        <f>IF(tbl利用[[#This Row],[利用区分]]="","",SUMIFS(tbl利用[利用分数],tbl利用[利用区分],tbl利用[[#This Row],[利用区分]]))</f>
        <v/>
      </c>
      <c r="BU27" s="45" t="str">
        <f>IF(tbl利用[[#This Row],[利用区分]]="","",MOD(tbl利用[[#This Row],[区分総利用分数]],60))</f>
        <v/>
      </c>
      <c r="BV27" s="45" t="str">
        <f>IF(tbl利用[[#This Row],[利用区分]]="","",SUMIFS(tbl利用[切捨分数],tbl利用[利用区分],tbl利用[[#This Row],[利用区分]]))</f>
        <v/>
      </c>
      <c r="BW27" s="45" t="str">
        <f>IF(tbl利用[[#This Row],[利用区分]]="","",IF(tbl利用[[#This Row],[区分必要切捨分数]]=tbl利用[[#This Row],[区分入力切捨合計]],"OK","要確認"))</f>
        <v/>
      </c>
      <c r="BX27"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27" s="46"/>
    </row>
    <row r="28" spans="1:77" s="1" customFormat="1" ht="28.5" customHeight="1" x14ac:dyDescent="0.4">
      <c r="A28" s="19">
        <v>21</v>
      </c>
      <c r="B28" s="75"/>
      <c r="C28" s="76"/>
      <c r="D28" s="76"/>
      <c r="E28" s="76"/>
      <c r="F28" s="74"/>
      <c r="G28" s="13"/>
      <c r="H28" s="22" t="s">
        <v>8</v>
      </c>
      <c r="I28" s="14"/>
      <c r="J28" s="22" t="s">
        <v>9</v>
      </c>
      <c r="K28" s="14"/>
      <c r="L28" s="22" t="s">
        <v>8</v>
      </c>
      <c r="M28" s="14"/>
      <c r="N28" s="2" t="str">
        <f t="shared" si="2"/>
        <v/>
      </c>
      <c r="O28" s="22" t="s">
        <v>10</v>
      </c>
      <c r="P28" s="22" t="str">
        <f t="shared" si="3"/>
        <v/>
      </c>
      <c r="Q28" s="3" t="s">
        <v>11</v>
      </c>
      <c r="R28" s="79"/>
      <c r="S28" s="80"/>
      <c r="T28" s="4" t="s">
        <v>12</v>
      </c>
      <c r="U28" s="79"/>
      <c r="V28" s="80"/>
      <c r="W28" s="4" t="s">
        <v>12</v>
      </c>
      <c r="X28" s="80"/>
      <c r="Y28" s="81"/>
      <c r="Z28" s="4" t="s">
        <v>12</v>
      </c>
      <c r="AA28" s="15"/>
      <c r="AB28" s="5" t="str">
        <f t="shared" si="4"/>
        <v/>
      </c>
      <c r="AC28" s="20" t="s">
        <v>8</v>
      </c>
      <c r="AD28" s="6" t="str">
        <f t="shared" si="16"/>
        <v/>
      </c>
      <c r="AE28" s="20" t="s">
        <v>9</v>
      </c>
      <c r="AF28" s="6" t="str">
        <f t="shared" si="5"/>
        <v/>
      </c>
      <c r="AG28" s="20" t="s">
        <v>8</v>
      </c>
      <c r="AH28" s="6" t="str">
        <f t="shared" si="6"/>
        <v/>
      </c>
      <c r="AI28" s="7" t="str">
        <f t="shared" si="7"/>
        <v/>
      </c>
      <c r="AJ28" s="20" t="s">
        <v>10</v>
      </c>
      <c r="AK28" s="8" t="str">
        <f t="shared" si="8"/>
        <v/>
      </c>
      <c r="AL28" s="9" t="s">
        <v>11</v>
      </c>
      <c r="AM28" s="7" t="str">
        <f t="shared" si="9"/>
        <v/>
      </c>
      <c r="AN28" s="20" t="s">
        <v>10</v>
      </c>
      <c r="AO28" s="8" t="str">
        <f t="shared" si="10"/>
        <v/>
      </c>
      <c r="AP28" s="10" t="s">
        <v>11</v>
      </c>
      <c r="AQ28" s="15" t="str" cm="1">
        <f t="array" ref="AQ28">IF(tbl利用[[#This Row],[利用日]]="","",ROW()-ROW(tbl利用[#Headers]))</f>
        <v/>
      </c>
      <c r="AR28" s="32" t="str">
        <f t="shared" si="11"/>
        <v/>
      </c>
      <c r="AS28" s="15"/>
      <c r="AT28" s="43" t="str">
        <f t="shared" si="12"/>
        <v/>
      </c>
      <c r="AU28" s="1" t="str">
        <f t="shared" si="13"/>
        <v/>
      </c>
      <c r="AV28" s="1" t="str">
        <f t="shared" si="14"/>
        <v/>
      </c>
      <c r="AW28" s="1" t="str">
        <f>IF(tbl利用[[#This Row],[利用日]]="","",N(tbl利用[[#This Row],[利用時間_時]])*60+N(tbl利用[[#This Row],[利用時間_分]]))</f>
        <v/>
      </c>
      <c r="AX28" s="44" t="str">
        <f t="shared" si="15"/>
        <v/>
      </c>
      <c r="AY28" s="44" t="str">
        <f t="shared" si="1"/>
        <v/>
      </c>
      <c r="AZ28" s="45" t="str">
        <f>IF(tbl利用[[#This Row],[利用日]]="","",MAX(0,N(tbl利用[[#This Row],[割引前利用額]])-N(tbl利用[[#This Row],[割引額]])))</f>
        <v/>
      </c>
      <c r="BA28" s="45" t="str">
        <f>IF(OR(tbl利用[[#This Row],[利用日]]="",tbl利用[[#This Row],[利用分数]]&lt;=0),"",N(tbl利用[[#This Row],[割引前利用額]])/tbl利用[[#This Row],[利用分数]]*60)</f>
        <v/>
      </c>
      <c r="BB28" s="45" t="str">
        <f>IF(tbl利用[[#This Row],[利用区分]]="","",_xlfn.XLOOKUP(tbl利用[[#This Row],[利用区分]],$AQ$4:$AQ$5,$AR$4:$AR$5,"区分未登録"))</f>
        <v/>
      </c>
      <c r="BC28" s="45" t="str">
        <f>IF(OR(tbl利用[[#This Row],[通常時間単価]]="",NOT(ISNUMBER(tbl利用[[#This Row],[上限単価]]))),"",MIN(tbl利用[[#This Row],[通常時間単価]],tbl利用[[#This Row],[上限単価]]))</f>
        <v/>
      </c>
      <c r="BD28" s="45" t="str">
        <f>IF(tbl利用[[#This Row],[利用日]]="","",tbl利用[[#This Row],[利用分数]]/60*tbl利用[[#This Row],[基準単価]])</f>
        <v/>
      </c>
      <c r="BE28" s="45" t="str">
        <f>IF(OR(tbl利用[[#This Row],[利用日]]="",tbl利用[[#This Row],[利用区分]]=""),"",TEXT(tbl利用[[#This Row],[利用日]],"yyyymmdd")&amp;"|"&amp;tbl利用[[#This Row],[利用区分]])</f>
        <v/>
      </c>
      <c r="BF28" s="45" t="str">
        <f>IF(tbl利用[[#This Row],[日別区分キー]]="","",SUMIFS(tbl利用[明細実支出額],tbl利用[日別区分キー],tbl利用[[#This Row],[日別区分キー]]))</f>
        <v/>
      </c>
      <c r="BG28" s="45" t="str">
        <f>IF(tbl利用[[#This Row],[日別区分キー]]="","",SUMIFS(tbl利用[処理前明細基準額],tbl利用[日別区分キー],tbl利用[[#This Row],[日別区分キー]]))</f>
        <v/>
      </c>
      <c r="BH28" s="45" t="str">
        <f>IF(tbl利用[[#This Row],[日別区分キー]]="","",ROUNDDOWN(MIN(tbl利用[[#This Row],[日別区分実支出額]],tbl利用[[#This Row],[日別区分処理前基準額]]),0))</f>
        <v/>
      </c>
      <c r="BI28" s="45" t="str">
        <f>IF(tbl利用[[#This Row],[日別区分キー]]="","",MAX(0,tbl利用[[#This Row],[日別区分処理前基準額]]-tbl利用[[#This Row],[日別区分実支出額]]))</f>
        <v/>
      </c>
      <c r="BJ28" s="45">
        <f>IF(OR(tbl利用[[#This Row],[利用日]]="",tbl利用[[#This Row],[基準単価]]&lt;=0),0,MIN(tbl利用[[#This Row],[利用分数]],ROUNDDOWN(tbl利用[[#This Row],[日別区分余裕額]]/(tbl利用[[#This Row],[基準単価]]/60),0)))</f>
        <v>0</v>
      </c>
      <c r="BK28" s="50"/>
      <c r="BL28" s="45" t="str">
        <f>IF(tbl利用[[#This Row],[利用日]]="","",MAX(0,tbl利用[[#This Row],[利用分数]]-N(tbl利用[[#This Row],[切捨分数]])))</f>
        <v/>
      </c>
      <c r="BM28" s="45" t="str">
        <f>IF(tbl利用[[#This Row],[利用日]]="","",tbl利用[[#This Row],[処理後利用分数]]/60*tbl利用[[#This Row],[基準単価]])</f>
        <v/>
      </c>
      <c r="BN28" s="45" t="str">
        <f>IF(tbl利用[[#This Row],[日別区分キー]]="","",SUMIFS(tbl利用[処理後明細基準額],tbl利用[日別区分キー],tbl利用[[#This Row],[日別区分キー]]))</f>
        <v/>
      </c>
      <c r="BO28" s="45" t="str">
        <f>IF(tbl利用[[#This Row],[日別区分キー]]="","",ROUNDDOWN(MIN(tbl利用[[#This Row],[日別区分実支出額]],tbl利用[[#This Row],[日別区分処理後基準額]]),0))</f>
        <v/>
      </c>
      <c r="BP28" s="45" t="str">
        <f>IF(tbl利用[[#This Row],[日別区分キー]]="","",tbl利用[[#This Row],[日別区分処理前補助額]]-tbl利用[[#This Row],[日別区分補助額]])</f>
        <v/>
      </c>
      <c r="BQ28" s="45" t="str">
        <f>IF(OR(tbl利用[[#This Row],[日別区分キー]]="",tbl利用[[#This Row],[処理後利用分数]]&lt;=0),"",ROUNDDOWN(MIN(tbl利用[[#This Row],[日別区分実支出額]],tbl利用[[#This Row],[日別区分処理後基準額]]-tbl利用[[#This Row],[基準単価]]/60),0))</f>
        <v/>
      </c>
      <c r="BR28" s="52" t="str">
        <f>IF(tbl利用[[#This Row],[次の1分切捨時補助額]]="","",tbl利用[[#This Row],[日別区分補助額]]-tbl利用[[#This Row],[次の1分切捨時補助額]])</f>
        <v/>
      </c>
      <c r="BS28" s="45" t="str">
        <f>IF(tbl利用[[#This Row],[日別区分キー]]="","",--(COUNTIF(INDEX(tbl利用[日別区分キー],1):tbl利用[[#This Row],[日別区分キー]],tbl利用[[#This Row],[日別区分キー]])=1))</f>
        <v/>
      </c>
      <c r="BT28" s="45" t="str">
        <f>IF(tbl利用[[#This Row],[利用区分]]="","",SUMIFS(tbl利用[利用分数],tbl利用[利用区分],tbl利用[[#This Row],[利用区分]]))</f>
        <v/>
      </c>
      <c r="BU28" s="45" t="str">
        <f>IF(tbl利用[[#This Row],[利用区分]]="","",MOD(tbl利用[[#This Row],[区分総利用分数]],60))</f>
        <v/>
      </c>
      <c r="BV28" s="45" t="str">
        <f>IF(tbl利用[[#This Row],[利用区分]]="","",SUMIFS(tbl利用[切捨分数],tbl利用[利用区分],tbl利用[[#This Row],[利用区分]]))</f>
        <v/>
      </c>
      <c r="BW28" s="45" t="str">
        <f>IF(tbl利用[[#This Row],[利用区分]]="","",IF(tbl利用[[#This Row],[区分必要切捨分数]]=tbl利用[[#This Row],[区分入力切捨合計]],"OK","要確認"))</f>
        <v/>
      </c>
      <c r="BX28"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28" s="46"/>
    </row>
    <row r="29" spans="1:77" s="1" customFormat="1" ht="28.5" customHeight="1" x14ac:dyDescent="0.4">
      <c r="A29" s="19">
        <v>22</v>
      </c>
      <c r="B29" s="75"/>
      <c r="C29" s="76"/>
      <c r="D29" s="76"/>
      <c r="E29" s="76"/>
      <c r="F29" s="74"/>
      <c r="G29" s="13"/>
      <c r="H29" s="22" t="s">
        <v>8</v>
      </c>
      <c r="I29" s="14"/>
      <c r="J29" s="22" t="s">
        <v>9</v>
      </c>
      <c r="K29" s="14"/>
      <c r="L29" s="22" t="s">
        <v>8</v>
      </c>
      <c r="M29" s="14"/>
      <c r="N29" s="2" t="str">
        <f t="shared" si="2"/>
        <v/>
      </c>
      <c r="O29" s="22" t="s">
        <v>10</v>
      </c>
      <c r="P29" s="22" t="str">
        <f t="shared" si="3"/>
        <v/>
      </c>
      <c r="Q29" s="3" t="s">
        <v>11</v>
      </c>
      <c r="R29" s="79"/>
      <c r="S29" s="80"/>
      <c r="T29" s="4" t="s">
        <v>12</v>
      </c>
      <c r="U29" s="79"/>
      <c r="V29" s="80"/>
      <c r="W29" s="4" t="s">
        <v>12</v>
      </c>
      <c r="X29" s="80"/>
      <c r="Y29" s="81"/>
      <c r="Z29" s="4" t="s">
        <v>12</v>
      </c>
      <c r="AA29" s="15"/>
      <c r="AB29" s="5" t="str">
        <f t="shared" si="4"/>
        <v/>
      </c>
      <c r="AC29" s="20" t="s">
        <v>8</v>
      </c>
      <c r="AD29" s="6" t="str">
        <f t="shared" si="16"/>
        <v/>
      </c>
      <c r="AE29" s="20" t="s">
        <v>9</v>
      </c>
      <c r="AF29" s="6" t="str">
        <f t="shared" si="5"/>
        <v/>
      </c>
      <c r="AG29" s="20" t="s">
        <v>8</v>
      </c>
      <c r="AH29" s="6" t="str">
        <f t="shared" si="6"/>
        <v/>
      </c>
      <c r="AI29" s="7" t="str">
        <f t="shared" si="7"/>
        <v/>
      </c>
      <c r="AJ29" s="20" t="s">
        <v>10</v>
      </c>
      <c r="AK29" s="8" t="str">
        <f t="shared" si="8"/>
        <v/>
      </c>
      <c r="AL29" s="9" t="s">
        <v>11</v>
      </c>
      <c r="AM29" s="7" t="str">
        <f t="shared" si="9"/>
        <v/>
      </c>
      <c r="AN29" s="20" t="s">
        <v>10</v>
      </c>
      <c r="AO29" s="8" t="str">
        <f t="shared" si="10"/>
        <v/>
      </c>
      <c r="AP29" s="10" t="s">
        <v>11</v>
      </c>
      <c r="AQ29" s="15" t="str" cm="1">
        <f t="array" ref="AQ29">IF(tbl利用[[#This Row],[利用日]]="","",ROW()-ROW(tbl利用[#Headers]))</f>
        <v/>
      </c>
      <c r="AR29" s="32" t="str">
        <f t="shared" si="11"/>
        <v/>
      </c>
      <c r="AS29" s="15"/>
      <c r="AT29" s="43" t="str">
        <f t="shared" si="12"/>
        <v/>
      </c>
      <c r="AU29" s="1" t="str">
        <f t="shared" si="13"/>
        <v/>
      </c>
      <c r="AV29" s="1" t="str">
        <f t="shared" si="14"/>
        <v/>
      </c>
      <c r="AW29" s="1" t="str">
        <f>IF(tbl利用[[#This Row],[利用日]]="","",N(tbl利用[[#This Row],[利用時間_時]])*60+N(tbl利用[[#This Row],[利用時間_分]]))</f>
        <v/>
      </c>
      <c r="AX29" s="44" t="str">
        <f t="shared" si="15"/>
        <v/>
      </c>
      <c r="AY29" s="44" t="str">
        <f t="shared" si="1"/>
        <v/>
      </c>
      <c r="AZ29" s="45" t="str">
        <f>IF(tbl利用[[#This Row],[利用日]]="","",MAX(0,N(tbl利用[[#This Row],[割引前利用額]])-N(tbl利用[[#This Row],[割引額]])))</f>
        <v/>
      </c>
      <c r="BA29" s="45" t="str">
        <f>IF(OR(tbl利用[[#This Row],[利用日]]="",tbl利用[[#This Row],[利用分数]]&lt;=0),"",N(tbl利用[[#This Row],[割引前利用額]])/tbl利用[[#This Row],[利用分数]]*60)</f>
        <v/>
      </c>
      <c r="BB29" s="45" t="str">
        <f>IF(tbl利用[[#This Row],[利用区分]]="","",_xlfn.XLOOKUP(tbl利用[[#This Row],[利用区分]],$AQ$4:$AQ$5,$AR$4:$AR$5,"区分未登録"))</f>
        <v/>
      </c>
      <c r="BC29" s="45" t="str">
        <f>IF(OR(tbl利用[[#This Row],[通常時間単価]]="",NOT(ISNUMBER(tbl利用[[#This Row],[上限単価]]))),"",MIN(tbl利用[[#This Row],[通常時間単価]],tbl利用[[#This Row],[上限単価]]))</f>
        <v/>
      </c>
      <c r="BD29" s="45" t="str">
        <f>IF(tbl利用[[#This Row],[利用日]]="","",tbl利用[[#This Row],[利用分数]]/60*tbl利用[[#This Row],[基準単価]])</f>
        <v/>
      </c>
      <c r="BE29" s="45" t="str">
        <f>IF(OR(tbl利用[[#This Row],[利用日]]="",tbl利用[[#This Row],[利用区分]]=""),"",TEXT(tbl利用[[#This Row],[利用日]],"yyyymmdd")&amp;"|"&amp;tbl利用[[#This Row],[利用区分]])</f>
        <v/>
      </c>
      <c r="BF29" s="45" t="str">
        <f>IF(tbl利用[[#This Row],[日別区分キー]]="","",SUMIFS(tbl利用[明細実支出額],tbl利用[日別区分キー],tbl利用[[#This Row],[日別区分キー]]))</f>
        <v/>
      </c>
      <c r="BG29" s="45" t="str">
        <f>IF(tbl利用[[#This Row],[日別区分キー]]="","",SUMIFS(tbl利用[処理前明細基準額],tbl利用[日別区分キー],tbl利用[[#This Row],[日別区分キー]]))</f>
        <v/>
      </c>
      <c r="BH29" s="45" t="str">
        <f>IF(tbl利用[[#This Row],[日別区分キー]]="","",ROUNDDOWN(MIN(tbl利用[[#This Row],[日別区分実支出額]],tbl利用[[#This Row],[日別区分処理前基準額]]),0))</f>
        <v/>
      </c>
      <c r="BI29" s="45" t="str">
        <f>IF(tbl利用[[#This Row],[日別区分キー]]="","",MAX(0,tbl利用[[#This Row],[日別区分処理前基準額]]-tbl利用[[#This Row],[日別区分実支出額]]))</f>
        <v/>
      </c>
      <c r="BJ29" s="45">
        <f>IF(OR(tbl利用[[#This Row],[利用日]]="",tbl利用[[#This Row],[基準単価]]&lt;=0),0,MIN(tbl利用[[#This Row],[利用分数]],ROUNDDOWN(tbl利用[[#This Row],[日別区分余裕額]]/(tbl利用[[#This Row],[基準単価]]/60),0)))</f>
        <v>0</v>
      </c>
      <c r="BK29" s="50"/>
      <c r="BL29" s="45" t="str">
        <f>IF(tbl利用[[#This Row],[利用日]]="","",MAX(0,tbl利用[[#This Row],[利用分数]]-N(tbl利用[[#This Row],[切捨分数]])))</f>
        <v/>
      </c>
      <c r="BM29" s="45" t="str">
        <f>IF(tbl利用[[#This Row],[利用日]]="","",tbl利用[[#This Row],[処理後利用分数]]/60*tbl利用[[#This Row],[基準単価]])</f>
        <v/>
      </c>
      <c r="BN29" s="45" t="str">
        <f>IF(tbl利用[[#This Row],[日別区分キー]]="","",SUMIFS(tbl利用[処理後明細基準額],tbl利用[日別区分キー],tbl利用[[#This Row],[日別区分キー]]))</f>
        <v/>
      </c>
      <c r="BO29" s="45" t="str">
        <f>IF(tbl利用[[#This Row],[日別区分キー]]="","",ROUNDDOWN(MIN(tbl利用[[#This Row],[日別区分実支出額]],tbl利用[[#This Row],[日別区分処理後基準額]]),0))</f>
        <v/>
      </c>
      <c r="BP29" s="45" t="str">
        <f>IF(tbl利用[[#This Row],[日別区分キー]]="","",tbl利用[[#This Row],[日別区分処理前補助額]]-tbl利用[[#This Row],[日別区分補助額]])</f>
        <v/>
      </c>
      <c r="BQ29" s="45" t="str">
        <f>IF(OR(tbl利用[[#This Row],[日別区分キー]]="",tbl利用[[#This Row],[処理後利用分数]]&lt;=0),"",ROUNDDOWN(MIN(tbl利用[[#This Row],[日別区分実支出額]],tbl利用[[#This Row],[日別区分処理後基準額]]-tbl利用[[#This Row],[基準単価]]/60),0))</f>
        <v/>
      </c>
      <c r="BR29" s="52" t="str">
        <f>IF(tbl利用[[#This Row],[次の1分切捨時補助額]]="","",tbl利用[[#This Row],[日別区分補助額]]-tbl利用[[#This Row],[次の1分切捨時補助額]])</f>
        <v/>
      </c>
      <c r="BS29" s="45" t="str">
        <f>IF(tbl利用[[#This Row],[日別区分キー]]="","",--(COUNTIF(INDEX(tbl利用[日別区分キー],1):tbl利用[[#This Row],[日別区分キー]],tbl利用[[#This Row],[日別区分キー]])=1))</f>
        <v/>
      </c>
      <c r="BT29" s="45" t="str">
        <f>IF(tbl利用[[#This Row],[利用区分]]="","",SUMIFS(tbl利用[利用分数],tbl利用[利用区分],tbl利用[[#This Row],[利用区分]]))</f>
        <v/>
      </c>
      <c r="BU29" s="45" t="str">
        <f>IF(tbl利用[[#This Row],[利用区分]]="","",MOD(tbl利用[[#This Row],[区分総利用分数]],60))</f>
        <v/>
      </c>
      <c r="BV29" s="45" t="str">
        <f>IF(tbl利用[[#This Row],[利用区分]]="","",SUMIFS(tbl利用[切捨分数],tbl利用[利用区分],tbl利用[[#This Row],[利用区分]]))</f>
        <v/>
      </c>
      <c r="BW29" s="45" t="str">
        <f>IF(tbl利用[[#This Row],[利用区分]]="","",IF(tbl利用[[#This Row],[区分必要切捨分数]]=tbl利用[[#This Row],[区分入力切捨合計]],"OK","要確認"))</f>
        <v/>
      </c>
      <c r="BX29"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29" s="46"/>
    </row>
    <row r="30" spans="1:77" s="1" customFormat="1" ht="28.5" customHeight="1" x14ac:dyDescent="0.4">
      <c r="A30" s="19">
        <v>23</v>
      </c>
      <c r="B30" s="75"/>
      <c r="C30" s="76"/>
      <c r="D30" s="76"/>
      <c r="E30" s="76"/>
      <c r="F30" s="74"/>
      <c r="G30" s="13"/>
      <c r="H30" s="22" t="s">
        <v>8</v>
      </c>
      <c r="I30" s="14"/>
      <c r="J30" s="22" t="s">
        <v>9</v>
      </c>
      <c r="K30" s="14"/>
      <c r="L30" s="22" t="s">
        <v>8</v>
      </c>
      <c r="M30" s="14"/>
      <c r="N30" s="2" t="str">
        <f t="shared" si="2"/>
        <v/>
      </c>
      <c r="O30" s="22" t="s">
        <v>10</v>
      </c>
      <c r="P30" s="22" t="str">
        <f t="shared" si="3"/>
        <v/>
      </c>
      <c r="Q30" s="3" t="s">
        <v>11</v>
      </c>
      <c r="R30" s="79"/>
      <c r="S30" s="80"/>
      <c r="T30" s="4" t="s">
        <v>12</v>
      </c>
      <c r="U30" s="79"/>
      <c r="V30" s="80"/>
      <c r="W30" s="4" t="s">
        <v>12</v>
      </c>
      <c r="X30" s="80"/>
      <c r="Y30" s="81"/>
      <c r="Z30" s="4" t="s">
        <v>12</v>
      </c>
      <c r="AA30" s="15"/>
      <c r="AB30" s="5" t="str">
        <f t="shared" si="4"/>
        <v/>
      </c>
      <c r="AC30" s="20" t="s">
        <v>8</v>
      </c>
      <c r="AD30" s="6" t="str">
        <f t="shared" si="16"/>
        <v/>
      </c>
      <c r="AE30" s="20" t="s">
        <v>9</v>
      </c>
      <c r="AF30" s="6" t="str">
        <f t="shared" si="5"/>
        <v/>
      </c>
      <c r="AG30" s="20" t="s">
        <v>8</v>
      </c>
      <c r="AH30" s="6" t="str">
        <f t="shared" si="6"/>
        <v/>
      </c>
      <c r="AI30" s="7" t="str">
        <f t="shared" si="7"/>
        <v/>
      </c>
      <c r="AJ30" s="20" t="s">
        <v>10</v>
      </c>
      <c r="AK30" s="8" t="str">
        <f t="shared" si="8"/>
        <v/>
      </c>
      <c r="AL30" s="9" t="s">
        <v>11</v>
      </c>
      <c r="AM30" s="7" t="str">
        <f t="shared" si="9"/>
        <v/>
      </c>
      <c r="AN30" s="20" t="s">
        <v>10</v>
      </c>
      <c r="AO30" s="8" t="str">
        <f t="shared" si="10"/>
        <v/>
      </c>
      <c r="AP30" s="10" t="s">
        <v>11</v>
      </c>
      <c r="AQ30" s="15" t="str" cm="1">
        <f t="array" ref="AQ30">IF(tbl利用[[#This Row],[利用日]]="","",ROW()-ROW(tbl利用[#Headers]))</f>
        <v/>
      </c>
      <c r="AR30" s="32" t="str">
        <f>IF(B30="","",B30)</f>
        <v/>
      </c>
      <c r="AS30" s="15"/>
      <c r="AT30" s="43" t="str">
        <f>IF(F30="","",F30)</f>
        <v/>
      </c>
      <c r="AU30" s="1" t="str">
        <f>IF(F30="利用区分１",AI30,AM30)</f>
        <v/>
      </c>
      <c r="AV30" s="1" t="str">
        <f>IF(F30="利用区分１",AK30,AO30)</f>
        <v/>
      </c>
      <c r="AW30" s="1" t="str">
        <f>IF(tbl利用[[#This Row],[利用日]]="","",N(tbl利用[[#This Row],[利用時間_時]])*60+N(tbl利用[[#This Row],[利用時間_分]]))</f>
        <v/>
      </c>
      <c r="AX30" s="44" t="str">
        <f t="shared" si="15"/>
        <v/>
      </c>
      <c r="AY30" s="44" t="str">
        <f t="shared" si="1"/>
        <v/>
      </c>
      <c r="AZ30" s="45" t="str">
        <f>IF(tbl利用[[#This Row],[利用日]]="","",MAX(0,N(tbl利用[[#This Row],[割引前利用額]])-N(tbl利用[[#This Row],[割引額]])))</f>
        <v/>
      </c>
      <c r="BA30" s="45" t="str">
        <f>IF(OR(tbl利用[[#This Row],[利用日]]="",tbl利用[[#This Row],[利用分数]]&lt;=0),"",N(tbl利用[[#This Row],[割引前利用額]])/tbl利用[[#This Row],[利用分数]]*60)</f>
        <v/>
      </c>
      <c r="BB30" s="45" t="str">
        <f>IF(tbl利用[[#This Row],[利用区分]]="","",_xlfn.XLOOKUP(tbl利用[[#This Row],[利用区分]],$AQ$4:$AQ$5,$AR$4:$AR$5,"区分未登録"))</f>
        <v/>
      </c>
      <c r="BC30" s="45" t="str">
        <f>IF(OR(tbl利用[[#This Row],[通常時間単価]]="",NOT(ISNUMBER(tbl利用[[#This Row],[上限単価]]))),"",MIN(tbl利用[[#This Row],[通常時間単価]],tbl利用[[#This Row],[上限単価]]))</f>
        <v/>
      </c>
      <c r="BD30" s="45" t="str">
        <f>IF(tbl利用[[#This Row],[利用日]]="","",tbl利用[[#This Row],[利用分数]]/60*tbl利用[[#This Row],[基準単価]])</f>
        <v/>
      </c>
      <c r="BE30" s="45" t="str">
        <f>IF(OR(tbl利用[[#This Row],[利用日]]="",tbl利用[[#This Row],[利用区分]]=""),"",TEXT(tbl利用[[#This Row],[利用日]],"yyyymmdd")&amp;"|"&amp;tbl利用[[#This Row],[利用区分]])</f>
        <v/>
      </c>
      <c r="BF30" s="45" t="str">
        <f>IF(tbl利用[[#This Row],[日別区分キー]]="","",SUMIFS(tbl利用[明細実支出額],tbl利用[日別区分キー],tbl利用[[#This Row],[日別区分キー]]))</f>
        <v/>
      </c>
      <c r="BG30" s="45" t="str">
        <f>IF(tbl利用[[#This Row],[日別区分キー]]="","",SUMIFS(tbl利用[処理前明細基準額],tbl利用[日別区分キー],tbl利用[[#This Row],[日別区分キー]]))</f>
        <v/>
      </c>
      <c r="BH30" s="45" t="str">
        <f>IF(tbl利用[[#This Row],[日別区分キー]]="","",ROUNDDOWN(MIN(tbl利用[[#This Row],[日別区分実支出額]],tbl利用[[#This Row],[日別区分処理前基準額]]),0))</f>
        <v/>
      </c>
      <c r="BI30" s="45" t="str">
        <f>IF(tbl利用[[#This Row],[日別区分キー]]="","",MAX(0,tbl利用[[#This Row],[日別区分処理前基準額]]-tbl利用[[#This Row],[日別区分実支出額]]))</f>
        <v/>
      </c>
      <c r="BJ30" s="45">
        <f>IF(OR(tbl利用[[#This Row],[利用日]]="",tbl利用[[#This Row],[基準単価]]&lt;=0),0,MIN(tbl利用[[#This Row],[利用分数]],ROUNDDOWN(tbl利用[[#This Row],[日別区分余裕額]]/(tbl利用[[#This Row],[基準単価]]/60),0)))</f>
        <v>0</v>
      </c>
      <c r="BK30" s="50"/>
      <c r="BL30" s="45" t="str">
        <f>IF(tbl利用[[#This Row],[利用日]]="","",MAX(0,tbl利用[[#This Row],[利用分数]]-N(tbl利用[[#This Row],[切捨分数]])))</f>
        <v/>
      </c>
      <c r="BM30" s="45" t="str">
        <f>IF(tbl利用[[#This Row],[利用日]]="","",tbl利用[[#This Row],[処理後利用分数]]/60*tbl利用[[#This Row],[基準単価]])</f>
        <v/>
      </c>
      <c r="BN30" s="45" t="str">
        <f>IF(tbl利用[[#This Row],[日別区分キー]]="","",SUMIFS(tbl利用[処理後明細基準額],tbl利用[日別区分キー],tbl利用[[#This Row],[日別区分キー]]))</f>
        <v/>
      </c>
      <c r="BO30" s="45" t="str">
        <f>IF(tbl利用[[#This Row],[日別区分キー]]="","",ROUNDDOWN(MIN(tbl利用[[#This Row],[日別区分実支出額]],tbl利用[[#This Row],[日別区分処理後基準額]]),0))</f>
        <v/>
      </c>
      <c r="BP30" s="45" t="str">
        <f>IF(tbl利用[[#This Row],[日別区分キー]]="","",tbl利用[[#This Row],[日別区分処理前補助額]]-tbl利用[[#This Row],[日別区分補助額]])</f>
        <v/>
      </c>
      <c r="BQ30" s="45" t="str">
        <f>IF(OR(tbl利用[[#This Row],[日別区分キー]]="",tbl利用[[#This Row],[処理後利用分数]]&lt;=0),"",ROUNDDOWN(MIN(tbl利用[[#This Row],[日別区分実支出額]],tbl利用[[#This Row],[日別区分処理後基準額]]-tbl利用[[#This Row],[基準単価]]/60),0))</f>
        <v/>
      </c>
      <c r="BR30" s="52" t="str">
        <f>IF(tbl利用[[#This Row],[次の1分切捨時補助額]]="","",tbl利用[[#This Row],[日別区分補助額]]-tbl利用[[#This Row],[次の1分切捨時補助額]])</f>
        <v/>
      </c>
      <c r="BS30" s="45" t="str">
        <f>IF(tbl利用[[#This Row],[日別区分キー]]="","",--(COUNTIF(INDEX(tbl利用[日別区分キー],1):tbl利用[[#This Row],[日別区分キー]],tbl利用[[#This Row],[日別区分キー]])=1))</f>
        <v/>
      </c>
      <c r="BT30" s="45" t="str">
        <f>IF(tbl利用[[#This Row],[利用区分]]="","",SUMIFS(tbl利用[利用分数],tbl利用[利用区分],tbl利用[[#This Row],[利用区分]]))</f>
        <v/>
      </c>
      <c r="BU30" s="45" t="str">
        <f>IF(tbl利用[[#This Row],[利用区分]]="","",MOD(tbl利用[[#This Row],[区分総利用分数]],60))</f>
        <v/>
      </c>
      <c r="BV30" s="45" t="str">
        <f>IF(tbl利用[[#This Row],[利用区分]]="","",SUMIFS(tbl利用[切捨分数],tbl利用[利用区分],tbl利用[[#This Row],[利用区分]]))</f>
        <v/>
      </c>
      <c r="BW30" s="45" t="str">
        <f>IF(tbl利用[[#This Row],[利用区分]]="","",IF(tbl利用[[#This Row],[区分必要切捨分数]]=tbl利用[[#This Row],[区分入力切捨合計]],"OK","要確認"))</f>
        <v/>
      </c>
      <c r="BX30"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30" s="46"/>
    </row>
    <row r="31" spans="1:77" s="1" customFormat="1" ht="28.5" customHeight="1" x14ac:dyDescent="0.4">
      <c r="A31" s="19">
        <v>24</v>
      </c>
      <c r="B31" s="75"/>
      <c r="C31" s="76"/>
      <c r="D31" s="76"/>
      <c r="E31" s="76"/>
      <c r="F31" s="74"/>
      <c r="G31" s="13"/>
      <c r="H31" s="22" t="s">
        <v>8</v>
      </c>
      <c r="I31" s="14"/>
      <c r="J31" s="22" t="s">
        <v>9</v>
      </c>
      <c r="K31" s="14"/>
      <c r="L31" s="22" t="s">
        <v>8</v>
      </c>
      <c r="M31" s="14"/>
      <c r="N31" s="2" t="str">
        <f t="shared" si="2"/>
        <v/>
      </c>
      <c r="O31" s="22" t="s">
        <v>10</v>
      </c>
      <c r="P31" s="22" t="str">
        <f t="shared" si="3"/>
        <v/>
      </c>
      <c r="Q31" s="3" t="s">
        <v>11</v>
      </c>
      <c r="R31" s="79"/>
      <c r="S31" s="80"/>
      <c r="T31" s="4" t="s">
        <v>12</v>
      </c>
      <c r="U31" s="79"/>
      <c r="V31" s="80"/>
      <c r="W31" s="4" t="s">
        <v>12</v>
      </c>
      <c r="X31" s="80"/>
      <c r="Y31" s="81"/>
      <c r="Z31" s="4" t="s">
        <v>12</v>
      </c>
      <c r="AA31" s="15"/>
      <c r="AB31" s="5" t="str">
        <f t="shared" si="4"/>
        <v/>
      </c>
      <c r="AC31" s="20" t="s">
        <v>8</v>
      </c>
      <c r="AD31" s="6" t="str">
        <f t="shared" si="16"/>
        <v/>
      </c>
      <c r="AE31" s="20" t="s">
        <v>9</v>
      </c>
      <c r="AF31" s="6" t="str">
        <f t="shared" si="5"/>
        <v/>
      </c>
      <c r="AG31" s="20" t="s">
        <v>8</v>
      </c>
      <c r="AH31" s="6" t="str">
        <f t="shared" si="6"/>
        <v/>
      </c>
      <c r="AI31" s="7" t="str">
        <f t="shared" si="7"/>
        <v/>
      </c>
      <c r="AJ31" s="20" t="s">
        <v>10</v>
      </c>
      <c r="AK31" s="8" t="str">
        <f t="shared" si="8"/>
        <v/>
      </c>
      <c r="AL31" s="9" t="s">
        <v>11</v>
      </c>
      <c r="AM31" s="7" t="str">
        <f t="shared" si="9"/>
        <v/>
      </c>
      <c r="AN31" s="20" t="s">
        <v>10</v>
      </c>
      <c r="AO31" s="8" t="str">
        <f t="shared" si="10"/>
        <v/>
      </c>
      <c r="AP31" s="10" t="s">
        <v>11</v>
      </c>
      <c r="AQ31" s="15" t="str" cm="1">
        <f t="array" ref="AQ31">IF(tbl利用[[#This Row],[利用日]]="","",ROW()-ROW(tbl利用[#Headers]))</f>
        <v/>
      </c>
      <c r="AR31" s="32" t="str">
        <f>IF(B31="","",B31)</f>
        <v/>
      </c>
      <c r="AS31" s="15"/>
      <c r="AT31" s="43" t="str">
        <f>IF(F31="","",F31)</f>
        <v/>
      </c>
      <c r="AU31" s="1" t="str">
        <f>IF(F31="利用区分１",AI31,AM31)</f>
        <v/>
      </c>
      <c r="AV31" s="1" t="str">
        <f>IF(F31="利用区分１",AK31,AO31)</f>
        <v/>
      </c>
      <c r="AW31" s="1" t="str">
        <f>IF(tbl利用[[#This Row],[利用日]]="","",N(tbl利用[[#This Row],[利用時間_時]])*60+N(tbl利用[[#This Row],[利用時間_分]]))</f>
        <v/>
      </c>
      <c r="AX31" s="44" t="str">
        <f t="shared" si="15"/>
        <v/>
      </c>
      <c r="AY31" s="44" t="str">
        <f t="shared" si="1"/>
        <v/>
      </c>
      <c r="AZ31" s="45" t="str">
        <f>IF(tbl利用[[#This Row],[利用日]]="","",MAX(0,N(tbl利用[[#This Row],[割引前利用額]])-N(tbl利用[[#This Row],[割引額]])))</f>
        <v/>
      </c>
      <c r="BA31" s="45" t="str">
        <f>IF(OR(tbl利用[[#This Row],[利用日]]="",tbl利用[[#This Row],[利用分数]]&lt;=0),"",N(tbl利用[[#This Row],[割引前利用額]])/tbl利用[[#This Row],[利用分数]]*60)</f>
        <v/>
      </c>
      <c r="BB31" s="45" t="str">
        <f>IF(tbl利用[[#This Row],[利用区分]]="","",_xlfn.XLOOKUP(tbl利用[[#This Row],[利用区分]],$AQ$4:$AQ$5,$AR$4:$AR$5,"区分未登録"))</f>
        <v/>
      </c>
      <c r="BC31" s="45" t="str">
        <f>IF(OR(tbl利用[[#This Row],[通常時間単価]]="",NOT(ISNUMBER(tbl利用[[#This Row],[上限単価]]))),"",MIN(tbl利用[[#This Row],[通常時間単価]],tbl利用[[#This Row],[上限単価]]))</f>
        <v/>
      </c>
      <c r="BD31" s="45" t="str">
        <f>IF(tbl利用[[#This Row],[利用日]]="","",tbl利用[[#This Row],[利用分数]]/60*tbl利用[[#This Row],[基準単価]])</f>
        <v/>
      </c>
      <c r="BE31" s="45" t="str">
        <f>IF(OR(tbl利用[[#This Row],[利用日]]="",tbl利用[[#This Row],[利用区分]]=""),"",TEXT(tbl利用[[#This Row],[利用日]],"yyyymmdd")&amp;"|"&amp;tbl利用[[#This Row],[利用区分]])</f>
        <v/>
      </c>
      <c r="BF31" s="45" t="str">
        <f>IF(tbl利用[[#This Row],[日別区分キー]]="","",SUMIFS(tbl利用[明細実支出額],tbl利用[日別区分キー],tbl利用[[#This Row],[日別区分キー]]))</f>
        <v/>
      </c>
      <c r="BG31" s="45" t="str">
        <f>IF(tbl利用[[#This Row],[日別区分キー]]="","",SUMIFS(tbl利用[処理前明細基準額],tbl利用[日別区分キー],tbl利用[[#This Row],[日別区分キー]]))</f>
        <v/>
      </c>
      <c r="BH31" s="45" t="str">
        <f>IF(tbl利用[[#This Row],[日別区分キー]]="","",ROUNDDOWN(MIN(tbl利用[[#This Row],[日別区分実支出額]],tbl利用[[#This Row],[日別区分処理前基準額]]),0))</f>
        <v/>
      </c>
      <c r="BI31" s="45" t="str">
        <f>IF(tbl利用[[#This Row],[日別区分キー]]="","",MAX(0,tbl利用[[#This Row],[日別区分処理前基準額]]-tbl利用[[#This Row],[日別区分実支出額]]))</f>
        <v/>
      </c>
      <c r="BJ31" s="45">
        <f>IF(OR(tbl利用[[#This Row],[利用日]]="",tbl利用[[#This Row],[基準単価]]&lt;=0),0,MIN(tbl利用[[#This Row],[利用分数]],ROUNDDOWN(tbl利用[[#This Row],[日別区分余裕額]]/(tbl利用[[#This Row],[基準単価]]/60),0)))</f>
        <v>0</v>
      </c>
      <c r="BK31" s="50"/>
      <c r="BL31" s="45" t="str">
        <f>IF(tbl利用[[#This Row],[利用日]]="","",MAX(0,tbl利用[[#This Row],[利用分数]]-N(tbl利用[[#This Row],[切捨分数]])))</f>
        <v/>
      </c>
      <c r="BM31" s="45" t="str">
        <f>IF(tbl利用[[#This Row],[利用日]]="","",tbl利用[[#This Row],[処理後利用分数]]/60*tbl利用[[#This Row],[基準単価]])</f>
        <v/>
      </c>
      <c r="BN31" s="45" t="str">
        <f>IF(tbl利用[[#This Row],[日別区分キー]]="","",SUMIFS(tbl利用[処理後明細基準額],tbl利用[日別区分キー],tbl利用[[#This Row],[日別区分キー]]))</f>
        <v/>
      </c>
      <c r="BO31" s="45" t="str">
        <f>IF(tbl利用[[#This Row],[日別区分キー]]="","",ROUNDDOWN(MIN(tbl利用[[#This Row],[日別区分実支出額]],tbl利用[[#This Row],[日別区分処理後基準額]]),0))</f>
        <v/>
      </c>
      <c r="BP31" s="45" t="str">
        <f>IF(tbl利用[[#This Row],[日別区分キー]]="","",tbl利用[[#This Row],[日別区分処理前補助額]]-tbl利用[[#This Row],[日別区分補助額]])</f>
        <v/>
      </c>
      <c r="BQ31" s="45" t="str">
        <f>IF(OR(tbl利用[[#This Row],[日別区分キー]]="",tbl利用[[#This Row],[処理後利用分数]]&lt;=0),"",ROUNDDOWN(MIN(tbl利用[[#This Row],[日別区分実支出額]],tbl利用[[#This Row],[日別区分処理後基準額]]-tbl利用[[#This Row],[基準単価]]/60),0))</f>
        <v/>
      </c>
      <c r="BR31" s="52" t="str">
        <f>IF(tbl利用[[#This Row],[次の1分切捨時補助額]]="","",tbl利用[[#This Row],[日別区分補助額]]-tbl利用[[#This Row],[次の1分切捨時補助額]])</f>
        <v/>
      </c>
      <c r="BS31" s="45" t="str">
        <f>IF(tbl利用[[#This Row],[日別区分キー]]="","",--(COUNTIF(INDEX(tbl利用[日別区分キー],1):tbl利用[[#This Row],[日別区分キー]],tbl利用[[#This Row],[日別区分キー]])=1))</f>
        <v/>
      </c>
      <c r="BT31" s="45" t="str">
        <f>IF(tbl利用[[#This Row],[利用区分]]="","",SUMIFS(tbl利用[利用分数],tbl利用[利用区分],tbl利用[[#This Row],[利用区分]]))</f>
        <v/>
      </c>
      <c r="BU31" s="45" t="str">
        <f>IF(tbl利用[[#This Row],[利用区分]]="","",MOD(tbl利用[[#This Row],[区分総利用分数]],60))</f>
        <v/>
      </c>
      <c r="BV31" s="45" t="str">
        <f>IF(tbl利用[[#This Row],[利用区分]]="","",SUMIFS(tbl利用[切捨分数],tbl利用[利用区分],tbl利用[[#This Row],[利用区分]]))</f>
        <v/>
      </c>
      <c r="BW31" s="45" t="str">
        <f>IF(tbl利用[[#This Row],[利用区分]]="","",IF(tbl利用[[#This Row],[区分必要切捨分数]]=tbl利用[[#This Row],[区分入力切捨合計]],"OK","要確認"))</f>
        <v/>
      </c>
      <c r="BX31"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31" s="46"/>
    </row>
    <row r="32" spans="1:77" s="1" customFormat="1" ht="28.5" customHeight="1" x14ac:dyDescent="0.4">
      <c r="A32" s="19">
        <v>25</v>
      </c>
      <c r="B32" s="75"/>
      <c r="C32" s="76"/>
      <c r="D32" s="76"/>
      <c r="E32" s="76"/>
      <c r="F32" s="74"/>
      <c r="G32" s="13"/>
      <c r="H32" s="22" t="s">
        <v>8</v>
      </c>
      <c r="I32" s="14"/>
      <c r="J32" s="22" t="s">
        <v>9</v>
      </c>
      <c r="K32" s="14"/>
      <c r="L32" s="22" t="s">
        <v>8</v>
      </c>
      <c r="M32" s="14"/>
      <c r="N32" s="2" t="str">
        <f t="shared" si="2"/>
        <v/>
      </c>
      <c r="O32" s="22" t="s">
        <v>10</v>
      </c>
      <c r="P32" s="22" t="str">
        <f t="shared" si="3"/>
        <v/>
      </c>
      <c r="Q32" s="3" t="s">
        <v>11</v>
      </c>
      <c r="R32" s="79"/>
      <c r="S32" s="80"/>
      <c r="T32" s="4" t="s">
        <v>12</v>
      </c>
      <c r="U32" s="79"/>
      <c r="V32" s="80"/>
      <c r="W32" s="4" t="s">
        <v>12</v>
      </c>
      <c r="X32" s="80"/>
      <c r="Y32" s="81"/>
      <c r="Z32" s="4" t="s">
        <v>12</v>
      </c>
      <c r="AA32" s="15"/>
      <c r="AB32" s="5" t="str">
        <f t="shared" si="4"/>
        <v/>
      </c>
      <c r="AC32" s="20" t="s">
        <v>8</v>
      </c>
      <c r="AD32" s="6" t="str">
        <f t="shared" si="16"/>
        <v/>
      </c>
      <c r="AE32" s="20" t="s">
        <v>9</v>
      </c>
      <c r="AF32" s="6" t="str">
        <f t="shared" si="5"/>
        <v/>
      </c>
      <c r="AG32" s="20" t="s">
        <v>8</v>
      </c>
      <c r="AH32" s="6" t="str">
        <f t="shared" si="6"/>
        <v/>
      </c>
      <c r="AI32" s="7" t="str">
        <f t="shared" si="7"/>
        <v/>
      </c>
      <c r="AJ32" s="20" t="s">
        <v>10</v>
      </c>
      <c r="AK32" s="8" t="str">
        <f t="shared" si="8"/>
        <v/>
      </c>
      <c r="AL32" s="9" t="s">
        <v>11</v>
      </c>
      <c r="AM32" s="7" t="str">
        <f t="shared" si="9"/>
        <v/>
      </c>
      <c r="AN32" s="20" t="s">
        <v>10</v>
      </c>
      <c r="AO32" s="8" t="str">
        <f t="shared" si="10"/>
        <v/>
      </c>
      <c r="AP32" s="10" t="s">
        <v>11</v>
      </c>
      <c r="AQ32" s="15" t="str" cm="1">
        <f t="array" ref="AQ32">IF(tbl利用[[#This Row],[利用日]]="","",ROW()-ROW(tbl利用[#Headers]))</f>
        <v/>
      </c>
      <c r="AR32" s="32" t="str">
        <f t="shared" ref="AR32:AR34" si="27">IF(B32="","",B32)</f>
        <v/>
      </c>
      <c r="AS32" s="15"/>
      <c r="AT32" s="43" t="str">
        <f t="shared" ref="AT32:AT34" si="28">IF(F32="","",F32)</f>
        <v/>
      </c>
      <c r="AU32" s="1" t="str">
        <f t="shared" ref="AU32:AU34" si="29">IF(F32="利用区分１",AI32,AM32)</f>
        <v/>
      </c>
      <c r="AV32" s="1" t="str">
        <f t="shared" ref="AV32:AV34" si="30">IF(F32="利用区分１",AK32,AO32)</f>
        <v/>
      </c>
      <c r="AW32" s="1" t="str">
        <f>IF(tbl利用[[#This Row],[利用日]]="","",N(tbl利用[[#This Row],[利用時間_時]])*60+N(tbl利用[[#This Row],[利用時間_分]]))</f>
        <v/>
      </c>
      <c r="AX32" s="44" t="str">
        <f t="shared" si="15"/>
        <v/>
      </c>
      <c r="AY32" s="44" t="str">
        <f t="shared" si="1"/>
        <v/>
      </c>
      <c r="AZ32" s="45" t="str">
        <f>IF(tbl利用[[#This Row],[利用日]]="","",MAX(0,N(tbl利用[[#This Row],[割引前利用額]])-N(tbl利用[[#This Row],[割引額]])))</f>
        <v/>
      </c>
      <c r="BA32" s="45" t="str">
        <f>IF(OR(tbl利用[[#This Row],[利用日]]="",tbl利用[[#This Row],[利用分数]]&lt;=0),"",N(tbl利用[[#This Row],[割引前利用額]])/tbl利用[[#This Row],[利用分数]]*60)</f>
        <v/>
      </c>
      <c r="BB32" s="45" t="str">
        <f>IF(tbl利用[[#This Row],[利用区分]]="","",_xlfn.XLOOKUP(tbl利用[[#This Row],[利用区分]],$AQ$4:$AQ$5,$AR$4:$AR$5,"区分未登録"))</f>
        <v/>
      </c>
      <c r="BC32" s="45" t="str">
        <f>IF(OR(tbl利用[[#This Row],[通常時間単価]]="",NOT(ISNUMBER(tbl利用[[#This Row],[上限単価]]))),"",MIN(tbl利用[[#This Row],[通常時間単価]],tbl利用[[#This Row],[上限単価]]))</f>
        <v/>
      </c>
      <c r="BD32" s="45" t="str">
        <f>IF(tbl利用[[#This Row],[利用日]]="","",tbl利用[[#This Row],[利用分数]]/60*tbl利用[[#This Row],[基準単価]])</f>
        <v/>
      </c>
      <c r="BE32" s="45" t="str">
        <f>IF(OR(tbl利用[[#This Row],[利用日]]="",tbl利用[[#This Row],[利用区分]]=""),"",TEXT(tbl利用[[#This Row],[利用日]],"yyyymmdd")&amp;"|"&amp;tbl利用[[#This Row],[利用区分]])</f>
        <v/>
      </c>
      <c r="BF32" s="45" t="str">
        <f>IF(tbl利用[[#This Row],[日別区分キー]]="","",SUMIFS(tbl利用[明細実支出額],tbl利用[日別区分キー],tbl利用[[#This Row],[日別区分キー]]))</f>
        <v/>
      </c>
      <c r="BG32" s="45" t="str">
        <f>IF(tbl利用[[#This Row],[日別区分キー]]="","",SUMIFS(tbl利用[処理前明細基準額],tbl利用[日別区分キー],tbl利用[[#This Row],[日別区分キー]]))</f>
        <v/>
      </c>
      <c r="BH32" s="45" t="str">
        <f>IF(tbl利用[[#This Row],[日別区分キー]]="","",ROUNDDOWN(MIN(tbl利用[[#This Row],[日別区分実支出額]],tbl利用[[#This Row],[日別区分処理前基準額]]),0))</f>
        <v/>
      </c>
      <c r="BI32" s="45" t="str">
        <f>IF(tbl利用[[#This Row],[日別区分キー]]="","",MAX(0,tbl利用[[#This Row],[日別区分処理前基準額]]-tbl利用[[#This Row],[日別区分実支出額]]))</f>
        <v/>
      </c>
      <c r="BJ32" s="45">
        <f>IF(OR(tbl利用[[#This Row],[利用日]]="",tbl利用[[#This Row],[基準単価]]&lt;=0),0,MIN(tbl利用[[#This Row],[利用分数]],ROUNDDOWN(tbl利用[[#This Row],[日別区分余裕額]]/(tbl利用[[#This Row],[基準単価]]/60),0)))</f>
        <v>0</v>
      </c>
      <c r="BK32" s="50"/>
      <c r="BL32" s="45" t="str">
        <f>IF(tbl利用[[#This Row],[利用日]]="","",MAX(0,tbl利用[[#This Row],[利用分数]]-N(tbl利用[[#This Row],[切捨分数]])))</f>
        <v/>
      </c>
      <c r="BM32" s="45" t="str">
        <f>IF(tbl利用[[#This Row],[利用日]]="","",tbl利用[[#This Row],[処理後利用分数]]/60*tbl利用[[#This Row],[基準単価]])</f>
        <v/>
      </c>
      <c r="BN32" s="45" t="str">
        <f>IF(tbl利用[[#This Row],[日別区分キー]]="","",SUMIFS(tbl利用[処理後明細基準額],tbl利用[日別区分キー],tbl利用[[#This Row],[日別区分キー]]))</f>
        <v/>
      </c>
      <c r="BO32" s="45" t="str">
        <f>IF(tbl利用[[#This Row],[日別区分キー]]="","",ROUNDDOWN(MIN(tbl利用[[#This Row],[日別区分実支出額]],tbl利用[[#This Row],[日別区分処理後基準額]]),0))</f>
        <v/>
      </c>
      <c r="BP32" s="45" t="str">
        <f>IF(tbl利用[[#This Row],[日別区分キー]]="","",tbl利用[[#This Row],[日別区分処理前補助額]]-tbl利用[[#This Row],[日別区分補助額]])</f>
        <v/>
      </c>
      <c r="BQ32" s="45" t="str">
        <f>IF(OR(tbl利用[[#This Row],[日別区分キー]]="",tbl利用[[#This Row],[処理後利用分数]]&lt;=0),"",ROUNDDOWN(MIN(tbl利用[[#This Row],[日別区分実支出額]],tbl利用[[#This Row],[日別区分処理後基準額]]-tbl利用[[#This Row],[基準単価]]/60),0))</f>
        <v/>
      </c>
      <c r="BR32" s="52" t="str">
        <f>IF(tbl利用[[#This Row],[次の1分切捨時補助額]]="","",tbl利用[[#This Row],[日別区分補助額]]-tbl利用[[#This Row],[次の1分切捨時補助額]])</f>
        <v/>
      </c>
      <c r="BS32" s="45" t="str">
        <f>IF(tbl利用[[#This Row],[日別区分キー]]="","",--(COUNTIF(INDEX(tbl利用[日別区分キー],1):tbl利用[[#This Row],[日別区分キー]],tbl利用[[#This Row],[日別区分キー]])=1))</f>
        <v/>
      </c>
      <c r="BT32" s="45" t="str">
        <f>IF(tbl利用[[#This Row],[利用区分]]="","",SUMIFS(tbl利用[利用分数],tbl利用[利用区分],tbl利用[[#This Row],[利用区分]]))</f>
        <v/>
      </c>
      <c r="BU32" s="45" t="str">
        <f>IF(tbl利用[[#This Row],[利用区分]]="","",MOD(tbl利用[[#This Row],[区分総利用分数]],60))</f>
        <v/>
      </c>
      <c r="BV32" s="45" t="str">
        <f>IF(tbl利用[[#This Row],[利用区分]]="","",SUMIFS(tbl利用[切捨分数],tbl利用[利用区分],tbl利用[[#This Row],[利用区分]]))</f>
        <v/>
      </c>
      <c r="BW32" s="45" t="str">
        <f>IF(tbl利用[[#This Row],[利用区分]]="","",IF(tbl利用[[#This Row],[区分必要切捨分数]]=tbl利用[[#This Row],[区分入力切捨合計]],"OK","要確認"))</f>
        <v/>
      </c>
      <c r="BX32"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32" s="46"/>
    </row>
    <row r="33" spans="1:77" s="1" customFormat="1" ht="28.5" customHeight="1" x14ac:dyDescent="0.4">
      <c r="A33" s="19">
        <v>26</v>
      </c>
      <c r="B33" s="75"/>
      <c r="C33" s="76"/>
      <c r="D33" s="76"/>
      <c r="E33" s="76"/>
      <c r="F33" s="74"/>
      <c r="G33" s="13"/>
      <c r="H33" s="22" t="s">
        <v>8</v>
      </c>
      <c r="I33" s="14"/>
      <c r="J33" s="22" t="s">
        <v>9</v>
      </c>
      <c r="K33" s="14"/>
      <c r="L33" s="22" t="s">
        <v>8</v>
      </c>
      <c r="M33" s="14"/>
      <c r="N33" s="2" t="str">
        <f t="shared" si="2"/>
        <v/>
      </c>
      <c r="O33" s="22" t="s">
        <v>10</v>
      </c>
      <c r="P33" s="22" t="str">
        <f t="shared" si="3"/>
        <v/>
      </c>
      <c r="Q33" s="3" t="s">
        <v>11</v>
      </c>
      <c r="R33" s="79"/>
      <c r="S33" s="80"/>
      <c r="T33" s="4" t="s">
        <v>12</v>
      </c>
      <c r="U33" s="79"/>
      <c r="V33" s="80"/>
      <c r="W33" s="4" t="s">
        <v>12</v>
      </c>
      <c r="X33" s="80"/>
      <c r="Y33" s="81"/>
      <c r="Z33" s="4" t="s">
        <v>12</v>
      </c>
      <c r="AA33" s="15"/>
      <c r="AB33" s="5" t="str">
        <f t="shared" si="4"/>
        <v/>
      </c>
      <c r="AC33" s="20" t="s">
        <v>8</v>
      </c>
      <c r="AD33" s="6" t="str">
        <f t="shared" si="16"/>
        <v/>
      </c>
      <c r="AE33" s="20" t="s">
        <v>9</v>
      </c>
      <c r="AF33" s="6" t="str">
        <f t="shared" si="5"/>
        <v/>
      </c>
      <c r="AG33" s="20" t="s">
        <v>8</v>
      </c>
      <c r="AH33" s="6" t="str">
        <f t="shared" si="6"/>
        <v/>
      </c>
      <c r="AI33" s="7" t="str">
        <f t="shared" si="7"/>
        <v/>
      </c>
      <c r="AJ33" s="20" t="s">
        <v>10</v>
      </c>
      <c r="AK33" s="8" t="str">
        <f t="shared" si="8"/>
        <v/>
      </c>
      <c r="AL33" s="9" t="s">
        <v>11</v>
      </c>
      <c r="AM33" s="7" t="str">
        <f t="shared" si="9"/>
        <v/>
      </c>
      <c r="AN33" s="20" t="s">
        <v>10</v>
      </c>
      <c r="AO33" s="8" t="str">
        <f t="shared" si="10"/>
        <v/>
      </c>
      <c r="AP33" s="10" t="s">
        <v>11</v>
      </c>
      <c r="AQ33" s="15" t="str" cm="1">
        <f t="array" ref="AQ33">IF(tbl利用[[#This Row],[利用日]]="","",ROW()-ROW(tbl利用[#Headers]))</f>
        <v/>
      </c>
      <c r="AR33" s="32" t="str">
        <f t="shared" si="27"/>
        <v/>
      </c>
      <c r="AS33" s="15"/>
      <c r="AT33" s="43" t="str">
        <f t="shared" si="28"/>
        <v/>
      </c>
      <c r="AU33" s="1" t="str">
        <f t="shared" si="29"/>
        <v/>
      </c>
      <c r="AV33" s="1" t="str">
        <f t="shared" si="30"/>
        <v/>
      </c>
      <c r="AW33" s="1" t="str">
        <f>IF(tbl利用[[#This Row],[利用日]]="","",N(tbl利用[[#This Row],[利用時間_時]])*60+N(tbl利用[[#This Row],[利用時間_分]]))</f>
        <v/>
      </c>
      <c r="AX33" s="44" t="str">
        <f t="shared" si="15"/>
        <v/>
      </c>
      <c r="AY33" s="44" t="str">
        <f t="shared" si="1"/>
        <v/>
      </c>
      <c r="AZ33" s="45" t="str">
        <f>IF(tbl利用[[#This Row],[利用日]]="","",MAX(0,N(tbl利用[[#This Row],[割引前利用額]])-N(tbl利用[[#This Row],[割引額]])))</f>
        <v/>
      </c>
      <c r="BA33" s="45" t="str">
        <f>IF(OR(tbl利用[[#This Row],[利用日]]="",tbl利用[[#This Row],[利用分数]]&lt;=0),"",N(tbl利用[[#This Row],[割引前利用額]])/tbl利用[[#This Row],[利用分数]]*60)</f>
        <v/>
      </c>
      <c r="BB33" s="45" t="str">
        <f>IF(tbl利用[[#This Row],[利用区分]]="","",_xlfn.XLOOKUP(tbl利用[[#This Row],[利用区分]],$AQ$4:$AQ$5,$AR$4:$AR$5,"区分未登録"))</f>
        <v/>
      </c>
      <c r="BC33" s="45" t="str">
        <f>IF(OR(tbl利用[[#This Row],[通常時間単価]]="",NOT(ISNUMBER(tbl利用[[#This Row],[上限単価]]))),"",MIN(tbl利用[[#This Row],[通常時間単価]],tbl利用[[#This Row],[上限単価]]))</f>
        <v/>
      </c>
      <c r="BD33" s="45" t="str">
        <f>IF(tbl利用[[#This Row],[利用日]]="","",tbl利用[[#This Row],[利用分数]]/60*tbl利用[[#This Row],[基準単価]])</f>
        <v/>
      </c>
      <c r="BE33" s="45" t="str">
        <f>IF(OR(tbl利用[[#This Row],[利用日]]="",tbl利用[[#This Row],[利用区分]]=""),"",TEXT(tbl利用[[#This Row],[利用日]],"yyyymmdd")&amp;"|"&amp;tbl利用[[#This Row],[利用区分]])</f>
        <v/>
      </c>
      <c r="BF33" s="45" t="str">
        <f>IF(tbl利用[[#This Row],[日別区分キー]]="","",SUMIFS(tbl利用[明細実支出額],tbl利用[日別区分キー],tbl利用[[#This Row],[日別区分キー]]))</f>
        <v/>
      </c>
      <c r="BG33" s="45" t="str">
        <f>IF(tbl利用[[#This Row],[日別区分キー]]="","",SUMIFS(tbl利用[処理前明細基準額],tbl利用[日別区分キー],tbl利用[[#This Row],[日別区分キー]]))</f>
        <v/>
      </c>
      <c r="BH33" s="45" t="str">
        <f>IF(tbl利用[[#This Row],[日別区分キー]]="","",ROUNDDOWN(MIN(tbl利用[[#This Row],[日別区分実支出額]],tbl利用[[#This Row],[日別区分処理前基準額]]),0))</f>
        <v/>
      </c>
      <c r="BI33" s="45" t="str">
        <f>IF(tbl利用[[#This Row],[日別区分キー]]="","",MAX(0,tbl利用[[#This Row],[日別区分処理前基準額]]-tbl利用[[#This Row],[日別区分実支出額]]))</f>
        <v/>
      </c>
      <c r="BJ33" s="45">
        <f>IF(OR(tbl利用[[#This Row],[利用日]]="",tbl利用[[#This Row],[基準単価]]&lt;=0),0,MIN(tbl利用[[#This Row],[利用分数]],ROUNDDOWN(tbl利用[[#This Row],[日別区分余裕額]]/(tbl利用[[#This Row],[基準単価]]/60),0)))</f>
        <v>0</v>
      </c>
      <c r="BK33" s="50"/>
      <c r="BL33" s="45" t="str">
        <f>IF(tbl利用[[#This Row],[利用日]]="","",MAX(0,tbl利用[[#This Row],[利用分数]]-N(tbl利用[[#This Row],[切捨分数]])))</f>
        <v/>
      </c>
      <c r="BM33" s="45" t="str">
        <f>IF(tbl利用[[#This Row],[利用日]]="","",tbl利用[[#This Row],[処理後利用分数]]/60*tbl利用[[#This Row],[基準単価]])</f>
        <v/>
      </c>
      <c r="BN33" s="45" t="str">
        <f>IF(tbl利用[[#This Row],[日別区分キー]]="","",SUMIFS(tbl利用[処理後明細基準額],tbl利用[日別区分キー],tbl利用[[#This Row],[日別区分キー]]))</f>
        <v/>
      </c>
      <c r="BO33" s="45" t="str">
        <f>IF(tbl利用[[#This Row],[日別区分キー]]="","",ROUNDDOWN(MIN(tbl利用[[#This Row],[日別区分実支出額]],tbl利用[[#This Row],[日別区分処理後基準額]]),0))</f>
        <v/>
      </c>
      <c r="BP33" s="45" t="str">
        <f>IF(tbl利用[[#This Row],[日別区分キー]]="","",tbl利用[[#This Row],[日別区分処理前補助額]]-tbl利用[[#This Row],[日別区分補助額]])</f>
        <v/>
      </c>
      <c r="BQ33" s="45" t="str">
        <f>IF(OR(tbl利用[[#This Row],[日別区分キー]]="",tbl利用[[#This Row],[処理後利用分数]]&lt;=0),"",ROUNDDOWN(MIN(tbl利用[[#This Row],[日別区分実支出額]],tbl利用[[#This Row],[日別区分処理後基準額]]-tbl利用[[#This Row],[基準単価]]/60),0))</f>
        <v/>
      </c>
      <c r="BR33" s="52" t="str">
        <f>IF(tbl利用[[#This Row],[次の1分切捨時補助額]]="","",tbl利用[[#This Row],[日別区分補助額]]-tbl利用[[#This Row],[次の1分切捨時補助額]])</f>
        <v/>
      </c>
      <c r="BS33" s="45" t="str">
        <f>IF(tbl利用[[#This Row],[日別区分キー]]="","",--(COUNTIF(INDEX(tbl利用[日別区分キー],1):tbl利用[[#This Row],[日別区分キー]],tbl利用[[#This Row],[日別区分キー]])=1))</f>
        <v/>
      </c>
      <c r="BT33" s="45" t="str">
        <f>IF(tbl利用[[#This Row],[利用区分]]="","",SUMIFS(tbl利用[利用分数],tbl利用[利用区分],tbl利用[[#This Row],[利用区分]]))</f>
        <v/>
      </c>
      <c r="BU33" s="45" t="str">
        <f>IF(tbl利用[[#This Row],[利用区分]]="","",MOD(tbl利用[[#This Row],[区分総利用分数]],60))</f>
        <v/>
      </c>
      <c r="BV33" s="45" t="str">
        <f>IF(tbl利用[[#This Row],[利用区分]]="","",SUMIFS(tbl利用[切捨分数],tbl利用[利用区分],tbl利用[[#This Row],[利用区分]]))</f>
        <v/>
      </c>
      <c r="BW33" s="45" t="str">
        <f>IF(tbl利用[[#This Row],[利用区分]]="","",IF(tbl利用[[#This Row],[区分必要切捨分数]]=tbl利用[[#This Row],[区分入力切捨合計]],"OK","要確認"))</f>
        <v/>
      </c>
      <c r="BX33"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33" s="46"/>
    </row>
    <row r="34" spans="1:77" s="1" customFormat="1" ht="28.5" customHeight="1" x14ac:dyDescent="0.4">
      <c r="A34" s="19">
        <v>27</v>
      </c>
      <c r="B34" s="75"/>
      <c r="C34" s="76"/>
      <c r="D34" s="76"/>
      <c r="E34" s="76"/>
      <c r="F34" s="74"/>
      <c r="G34" s="13"/>
      <c r="H34" s="22" t="s">
        <v>8</v>
      </c>
      <c r="I34" s="14"/>
      <c r="J34" s="22" t="s">
        <v>9</v>
      </c>
      <c r="K34" s="14"/>
      <c r="L34" s="22" t="s">
        <v>8</v>
      </c>
      <c r="M34" s="14"/>
      <c r="N34" s="2" t="str">
        <f t="shared" si="2"/>
        <v/>
      </c>
      <c r="O34" s="22" t="s">
        <v>10</v>
      </c>
      <c r="P34" s="22" t="str">
        <f t="shared" si="3"/>
        <v/>
      </c>
      <c r="Q34" s="3" t="s">
        <v>11</v>
      </c>
      <c r="R34" s="79"/>
      <c r="S34" s="80"/>
      <c r="T34" s="4" t="s">
        <v>12</v>
      </c>
      <c r="U34" s="79"/>
      <c r="V34" s="80"/>
      <c r="W34" s="4" t="s">
        <v>12</v>
      </c>
      <c r="X34" s="80"/>
      <c r="Y34" s="81"/>
      <c r="Z34" s="4" t="s">
        <v>12</v>
      </c>
      <c r="AA34" s="15"/>
      <c r="AB34" s="5" t="str">
        <f t="shared" si="4"/>
        <v/>
      </c>
      <c r="AC34" s="20" t="s">
        <v>8</v>
      </c>
      <c r="AD34" s="6" t="str">
        <f t="shared" si="16"/>
        <v/>
      </c>
      <c r="AE34" s="20" t="s">
        <v>9</v>
      </c>
      <c r="AF34" s="6" t="str">
        <f t="shared" si="5"/>
        <v/>
      </c>
      <c r="AG34" s="20" t="s">
        <v>8</v>
      </c>
      <c r="AH34" s="6" t="str">
        <f t="shared" si="6"/>
        <v/>
      </c>
      <c r="AI34" s="7" t="str">
        <f t="shared" si="7"/>
        <v/>
      </c>
      <c r="AJ34" s="20" t="s">
        <v>10</v>
      </c>
      <c r="AK34" s="8" t="str">
        <f t="shared" si="8"/>
        <v/>
      </c>
      <c r="AL34" s="9" t="s">
        <v>11</v>
      </c>
      <c r="AM34" s="7" t="str">
        <f t="shared" si="9"/>
        <v/>
      </c>
      <c r="AN34" s="20" t="s">
        <v>10</v>
      </c>
      <c r="AO34" s="8" t="str">
        <f t="shared" si="10"/>
        <v/>
      </c>
      <c r="AP34" s="10" t="s">
        <v>11</v>
      </c>
      <c r="AQ34" s="15" t="str" cm="1">
        <f t="array" ref="AQ34">IF(tbl利用[[#This Row],[利用日]]="","",ROW()-ROW(tbl利用[#Headers]))</f>
        <v/>
      </c>
      <c r="AR34" s="32" t="str">
        <f t="shared" si="27"/>
        <v/>
      </c>
      <c r="AS34" s="15"/>
      <c r="AT34" s="43" t="str">
        <f t="shared" si="28"/>
        <v/>
      </c>
      <c r="AU34" s="1" t="str">
        <f t="shared" si="29"/>
        <v/>
      </c>
      <c r="AV34" s="1" t="str">
        <f t="shared" si="30"/>
        <v/>
      </c>
      <c r="AW34" s="1" t="str">
        <f>IF(tbl利用[[#This Row],[利用日]]="","",N(tbl利用[[#This Row],[利用時間_時]])*60+N(tbl利用[[#This Row],[利用時間_分]]))</f>
        <v/>
      </c>
      <c r="AX34" s="44" t="str">
        <f t="shared" si="15"/>
        <v/>
      </c>
      <c r="AY34" s="44" t="str">
        <f t="shared" si="1"/>
        <v/>
      </c>
      <c r="AZ34" s="45" t="str">
        <f>IF(tbl利用[[#This Row],[利用日]]="","",MAX(0,N(tbl利用[[#This Row],[割引前利用額]])-N(tbl利用[[#This Row],[割引額]])))</f>
        <v/>
      </c>
      <c r="BA34" s="45" t="str">
        <f>IF(OR(tbl利用[[#This Row],[利用日]]="",tbl利用[[#This Row],[利用分数]]&lt;=0),"",N(tbl利用[[#This Row],[割引前利用額]])/tbl利用[[#This Row],[利用分数]]*60)</f>
        <v/>
      </c>
      <c r="BB34" s="45" t="str">
        <f>IF(tbl利用[[#This Row],[利用区分]]="","",_xlfn.XLOOKUP(tbl利用[[#This Row],[利用区分]],$AQ$4:$AQ$5,$AR$4:$AR$5,"区分未登録"))</f>
        <v/>
      </c>
      <c r="BC34" s="45" t="str">
        <f>IF(OR(tbl利用[[#This Row],[通常時間単価]]="",NOT(ISNUMBER(tbl利用[[#This Row],[上限単価]]))),"",MIN(tbl利用[[#This Row],[通常時間単価]],tbl利用[[#This Row],[上限単価]]))</f>
        <v/>
      </c>
      <c r="BD34" s="45" t="str">
        <f>IF(tbl利用[[#This Row],[利用日]]="","",tbl利用[[#This Row],[利用分数]]/60*tbl利用[[#This Row],[基準単価]])</f>
        <v/>
      </c>
      <c r="BE34" s="45" t="str">
        <f>IF(OR(tbl利用[[#This Row],[利用日]]="",tbl利用[[#This Row],[利用区分]]=""),"",TEXT(tbl利用[[#This Row],[利用日]],"yyyymmdd")&amp;"|"&amp;tbl利用[[#This Row],[利用区分]])</f>
        <v/>
      </c>
      <c r="BF34" s="45" t="str">
        <f>IF(tbl利用[[#This Row],[日別区分キー]]="","",SUMIFS(tbl利用[明細実支出額],tbl利用[日別区分キー],tbl利用[[#This Row],[日別区分キー]]))</f>
        <v/>
      </c>
      <c r="BG34" s="45" t="str">
        <f>IF(tbl利用[[#This Row],[日別区分キー]]="","",SUMIFS(tbl利用[処理前明細基準額],tbl利用[日別区分キー],tbl利用[[#This Row],[日別区分キー]]))</f>
        <v/>
      </c>
      <c r="BH34" s="45" t="str">
        <f>IF(tbl利用[[#This Row],[日別区分キー]]="","",ROUNDDOWN(MIN(tbl利用[[#This Row],[日別区分実支出額]],tbl利用[[#This Row],[日別区分処理前基準額]]),0))</f>
        <v/>
      </c>
      <c r="BI34" s="45" t="str">
        <f>IF(tbl利用[[#This Row],[日別区分キー]]="","",MAX(0,tbl利用[[#This Row],[日別区分処理前基準額]]-tbl利用[[#This Row],[日別区分実支出額]]))</f>
        <v/>
      </c>
      <c r="BJ34" s="45">
        <f>IF(OR(tbl利用[[#This Row],[利用日]]="",tbl利用[[#This Row],[基準単価]]&lt;=0),0,MIN(tbl利用[[#This Row],[利用分数]],ROUNDDOWN(tbl利用[[#This Row],[日別区分余裕額]]/(tbl利用[[#This Row],[基準単価]]/60),0)))</f>
        <v>0</v>
      </c>
      <c r="BK34" s="50"/>
      <c r="BL34" s="45" t="str">
        <f>IF(tbl利用[[#This Row],[利用日]]="","",MAX(0,tbl利用[[#This Row],[利用分数]]-N(tbl利用[[#This Row],[切捨分数]])))</f>
        <v/>
      </c>
      <c r="BM34" s="45" t="str">
        <f>IF(tbl利用[[#This Row],[利用日]]="","",tbl利用[[#This Row],[処理後利用分数]]/60*tbl利用[[#This Row],[基準単価]])</f>
        <v/>
      </c>
      <c r="BN34" s="45" t="str">
        <f>IF(tbl利用[[#This Row],[日別区分キー]]="","",SUMIFS(tbl利用[処理後明細基準額],tbl利用[日別区分キー],tbl利用[[#This Row],[日別区分キー]]))</f>
        <v/>
      </c>
      <c r="BO34" s="45" t="str">
        <f>IF(tbl利用[[#This Row],[日別区分キー]]="","",ROUNDDOWN(MIN(tbl利用[[#This Row],[日別区分実支出額]],tbl利用[[#This Row],[日別区分処理後基準額]]),0))</f>
        <v/>
      </c>
      <c r="BP34" s="45" t="str">
        <f>IF(tbl利用[[#This Row],[日別区分キー]]="","",tbl利用[[#This Row],[日別区分処理前補助額]]-tbl利用[[#This Row],[日別区分補助額]])</f>
        <v/>
      </c>
      <c r="BQ34" s="45" t="str">
        <f>IF(OR(tbl利用[[#This Row],[日別区分キー]]="",tbl利用[[#This Row],[処理後利用分数]]&lt;=0),"",ROUNDDOWN(MIN(tbl利用[[#This Row],[日別区分実支出額]],tbl利用[[#This Row],[日別区分処理後基準額]]-tbl利用[[#This Row],[基準単価]]/60),0))</f>
        <v/>
      </c>
      <c r="BR34" s="52" t="str">
        <f>IF(tbl利用[[#This Row],[次の1分切捨時補助額]]="","",tbl利用[[#This Row],[日別区分補助額]]-tbl利用[[#This Row],[次の1分切捨時補助額]])</f>
        <v/>
      </c>
      <c r="BS34" s="45" t="str">
        <f>IF(tbl利用[[#This Row],[日別区分キー]]="","",--(COUNTIF(INDEX(tbl利用[日別区分キー],1):tbl利用[[#This Row],[日別区分キー]],tbl利用[[#This Row],[日別区分キー]])=1))</f>
        <v/>
      </c>
      <c r="BT34" s="45" t="str">
        <f>IF(tbl利用[[#This Row],[利用区分]]="","",SUMIFS(tbl利用[利用分数],tbl利用[利用区分],tbl利用[[#This Row],[利用区分]]))</f>
        <v/>
      </c>
      <c r="BU34" s="45" t="str">
        <f>IF(tbl利用[[#This Row],[利用区分]]="","",MOD(tbl利用[[#This Row],[区分総利用分数]],60))</f>
        <v/>
      </c>
      <c r="BV34" s="45" t="str">
        <f>IF(tbl利用[[#This Row],[利用区分]]="","",SUMIFS(tbl利用[切捨分数],tbl利用[利用区分],tbl利用[[#This Row],[利用区分]]))</f>
        <v/>
      </c>
      <c r="BW34" s="45" t="str">
        <f>IF(tbl利用[[#This Row],[利用区分]]="","",IF(tbl利用[[#This Row],[区分必要切捨分数]]=tbl利用[[#This Row],[区分入力切捨合計]],"OK","要確認"))</f>
        <v/>
      </c>
      <c r="BX34"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34" s="46"/>
    </row>
    <row r="35" spans="1:77" s="1" customFormat="1" ht="28.5" customHeight="1" x14ac:dyDescent="0.4">
      <c r="A35" s="19">
        <v>28</v>
      </c>
      <c r="B35" s="75"/>
      <c r="C35" s="76"/>
      <c r="D35" s="76"/>
      <c r="E35" s="76"/>
      <c r="F35" s="74"/>
      <c r="G35" s="13"/>
      <c r="H35" s="22" t="s">
        <v>8</v>
      </c>
      <c r="I35" s="14"/>
      <c r="J35" s="22" t="s">
        <v>9</v>
      </c>
      <c r="K35" s="14"/>
      <c r="L35" s="22" t="s">
        <v>8</v>
      </c>
      <c r="M35" s="14"/>
      <c r="N35" s="2" t="str">
        <f t="shared" si="2"/>
        <v/>
      </c>
      <c r="O35" s="22" t="s">
        <v>10</v>
      </c>
      <c r="P35" s="22" t="str">
        <f t="shared" si="3"/>
        <v/>
      </c>
      <c r="Q35" s="3" t="s">
        <v>11</v>
      </c>
      <c r="R35" s="79"/>
      <c r="S35" s="80"/>
      <c r="T35" s="4" t="s">
        <v>12</v>
      </c>
      <c r="U35" s="79"/>
      <c r="V35" s="80"/>
      <c r="W35" s="4" t="s">
        <v>12</v>
      </c>
      <c r="X35" s="80"/>
      <c r="Y35" s="81"/>
      <c r="Z35" s="4" t="s">
        <v>12</v>
      </c>
      <c r="AA35" s="15"/>
      <c r="AB35" s="5" t="str">
        <f t="shared" si="4"/>
        <v/>
      </c>
      <c r="AC35" s="20" t="s">
        <v>8</v>
      </c>
      <c r="AD35" s="6" t="str">
        <f t="shared" si="16"/>
        <v/>
      </c>
      <c r="AE35" s="20" t="s">
        <v>9</v>
      </c>
      <c r="AF35" s="6" t="str">
        <f t="shared" si="5"/>
        <v/>
      </c>
      <c r="AG35" s="20" t="s">
        <v>8</v>
      </c>
      <c r="AH35" s="6" t="str">
        <f t="shared" si="6"/>
        <v/>
      </c>
      <c r="AI35" s="7" t="str">
        <f t="shared" si="7"/>
        <v/>
      </c>
      <c r="AJ35" s="20" t="s">
        <v>10</v>
      </c>
      <c r="AK35" s="8" t="str">
        <f t="shared" si="8"/>
        <v/>
      </c>
      <c r="AL35" s="9" t="s">
        <v>11</v>
      </c>
      <c r="AM35" s="7" t="str">
        <f t="shared" si="9"/>
        <v/>
      </c>
      <c r="AN35" s="20" t="s">
        <v>10</v>
      </c>
      <c r="AO35" s="8" t="str">
        <f t="shared" si="10"/>
        <v/>
      </c>
      <c r="AP35" s="10" t="s">
        <v>11</v>
      </c>
      <c r="AQ35" s="15" t="str" cm="1">
        <f t="array" ref="AQ35">IF(tbl利用[[#This Row],[利用日]]="","",ROW()-ROW(tbl利用[#Headers]))</f>
        <v/>
      </c>
      <c r="AR35" s="32" t="str">
        <f>IF(B35="","",B35)</f>
        <v/>
      </c>
      <c r="AS35" s="15"/>
      <c r="AT35" s="43" t="str">
        <f>IF(F35="","",F35)</f>
        <v/>
      </c>
      <c r="AU35" s="1" t="str">
        <f>IF(F35="利用区分１",AI35,AM35)</f>
        <v/>
      </c>
      <c r="AV35" s="1" t="str">
        <f>IF(F35="利用区分１",AK35,AO35)</f>
        <v/>
      </c>
      <c r="AW35" s="1" t="str">
        <f>IF(tbl利用[[#This Row],[利用日]]="","",N(tbl利用[[#This Row],[利用時間_時]])*60+N(tbl利用[[#This Row],[利用時間_分]]))</f>
        <v/>
      </c>
      <c r="AX35" s="44" t="str">
        <f t="shared" si="15"/>
        <v/>
      </c>
      <c r="AY35" s="44" t="str">
        <f t="shared" si="1"/>
        <v/>
      </c>
      <c r="AZ35" s="45" t="str">
        <f>IF(tbl利用[[#This Row],[利用日]]="","",MAX(0,N(tbl利用[[#This Row],[割引前利用額]])-N(tbl利用[[#This Row],[割引額]])))</f>
        <v/>
      </c>
      <c r="BA35" s="45" t="str">
        <f>IF(OR(tbl利用[[#This Row],[利用日]]="",tbl利用[[#This Row],[利用分数]]&lt;=0),"",N(tbl利用[[#This Row],[割引前利用額]])/tbl利用[[#This Row],[利用分数]]*60)</f>
        <v/>
      </c>
      <c r="BB35" s="45" t="str">
        <f>IF(tbl利用[[#This Row],[利用区分]]="","",_xlfn.XLOOKUP(tbl利用[[#This Row],[利用区分]],$AQ$4:$AQ$5,$AR$4:$AR$5,"区分未登録"))</f>
        <v/>
      </c>
      <c r="BC35" s="45" t="str">
        <f>IF(OR(tbl利用[[#This Row],[通常時間単価]]="",NOT(ISNUMBER(tbl利用[[#This Row],[上限単価]]))),"",MIN(tbl利用[[#This Row],[通常時間単価]],tbl利用[[#This Row],[上限単価]]))</f>
        <v/>
      </c>
      <c r="BD35" s="45" t="str">
        <f>IF(tbl利用[[#This Row],[利用日]]="","",tbl利用[[#This Row],[利用分数]]/60*tbl利用[[#This Row],[基準単価]])</f>
        <v/>
      </c>
      <c r="BE35" s="45" t="str">
        <f>IF(OR(tbl利用[[#This Row],[利用日]]="",tbl利用[[#This Row],[利用区分]]=""),"",TEXT(tbl利用[[#This Row],[利用日]],"yyyymmdd")&amp;"|"&amp;tbl利用[[#This Row],[利用区分]])</f>
        <v/>
      </c>
      <c r="BF35" s="45" t="str">
        <f>IF(tbl利用[[#This Row],[日別区分キー]]="","",SUMIFS(tbl利用[明細実支出額],tbl利用[日別区分キー],tbl利用[[#This Row],[日別区分キー]]))</f>
        <v/>
      </c>
      <c r="BG35" s="45" t="str">
        <f>IF(tbl利用[[#This Row],[日別区分キー]]="","",SUMIFS(tbl利用[処理前明細基準額],tbl利用[日別区分キー],tbl利用[[#This Row],[日別区分キー]]))</f>
        <v/>
      </c>
      <c r="BH35" s="45" t="str">
        <f>IF(tbl利用[[#This Row],[日別区分キー]]="","",ROUNDDOWN(MIN(tbl利用[[#This Row],[日別区分実支出額]],tbl利用[[#This Row],[日別区分処理前基準額]]),0))</f>
        <v/>
      </c>
      <c r="BI35" s="45" t="str">
        <f>IF(tbl利用[[#This Row],[日別区分キー]]="","",MAX(0,tbl利用[[#This Row],[日別区分処理前基準額]]-tbl利用[[#This Row],[日別区分実支出額]]))</f>
        <v/>
      </c>
      <c r="BJ35" s="45">
        <f>IF(OR(tbl利用[[#This Row],[利用日]]="",tbl利用[[#This Row],[基準単価]]&lt;=0),0,MIN(tbl利用[[#This Row],[利用分数]],ROUNDDOWN(tbl利用[[#This Row],[日別区分余裕額]]/(tbl利用[[#This Row],[基準単価]]/60),0)))</f>
        <v>0</v>
      </c>
      <c r="BK35" s="50"/>
      <c r="BL35" s="45" t="str">
        <f>IF(tbl利用[[#This Row],[利用日]]="","",MAX(0,tbl利用[[#This Row],[利用分数]]-N(tbl利用[[#This Row],[切捨分数]])))</f>
        <v/>
      </c>
      <c r="BM35" s="45" t="str">
        <f>IF(tbl利用[[#This Row],[利用日]]="","",tbl利用[[#This Row],[処理後利用分数]]/60*tbl利用[[#This Row],[基準単価]])</f>
        <v/>
      </c>
      <c r="BN35" s="45" t="str">
        <f>IF(tbl利用[[#This Row],[日別区分キー]]="","",SUMIFS(tbl利用[処理後明細基準額],tbl利用[日別区分キー],tbl利用[[#This Row],[日別区分キー]]))</f>
        <v/>
      </c>
      <c r="BO35" s="45" t="str">
        <f>IF(tbl利用[[#This Row],[日別区分キー]]="","",ROUNDDOWN(MIN(tbl利用[[#This Row],[日別区分実支出額]],tbl利用[[#This Row],[日別区分処理後基準額]]),0))</f>
        <v/>
      </c>
      <c r="BP35" s="45" t="str">
        <f>IF(tbl利用[[#This Row],[日別区分キー]]="","",tbl利用[[#This Row],[日別区分処理前補助額]]-tbl利用[[#This Row],[日別区分補助額]])</f>
        <v/>
      </c>
      <c r="BQ35" s="45" t="str">
        <f>IF(OR(tbl利用[[#This Row],[日別区分キー]]="",tbl利用[[#This Row],[処理後利用分数]]&lt;=0),"",ROUNDDOWN(MIN(tbl利用[[#This Row],[日別区分実支出額]],tbl利用[[#This Row],[日別区分処理後基準額]]-tbl利用[[#This Row],[基準単価]]/60),0))</f>
        <v/>
      </c>
      <c r="BR35" s="52" t="str">
        <f>IF(tbl利用[[#This Row],[次の1分切捨時補助額]]="","",tbl利用[[#This Row],[日別区分補助額]]-tbl利用[[#This Row],[次の1分切捨時補助額]])</f>
        <v/>
      </c>
      <c r="BS35" s="45" t="str">
        <f>IF(tbl利用[[#This Row],[日別区分キー]]="","",--(COUNTIF(INDEX(tbl利用[日別区分キー],1):tbl利用[[#This Row],[日別区分キー]],tbl利用[[#This Row],[日別区分キー]])=1))</f>
        <v/>
      </c>
      <c r="BT35" s="45" t="str">
        <f>IF(tbl利用[[#This Row],[利用区分]]="","",SUMIFS(tbl利用[利用分数],tbl利用[利用区分],tbl利用[[#This Row],[利用区分]]))</f>
        <v/>
      </c>
      <c r="BU35" s="45" t="str">
        <f>IF(tbl利用[[#This Row],[利用区分]]="","",MOD(tbl利用[[#This Row],[区分総利用分数]],60))</f>
        <v/>
      </c>
      <c r="BV35" s="45" t="str">
        <f>IF(tbl利用[[#This Row],[利用区分]]="","",SUMIFS(tbl利用[切捨分数],tbl利用[利用区分],tbl利用[[#This Row],[利用区分]]))</f>
        <v/>
      </c>
      <c r="BW35" s="45" t="str">
        <f>IF(tbl利用[[#This Row],[利用区分]]="","",IF(tbl利用[[#This Row],[区分必要切捨分数]]=tbl利用[[#This Row],[区分入力切捨合計]],"OK","要確認"))</f>
        <v/>
      </c>
      <c r="BX35"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35" s="46"/>
    </row>
    <row r="36" spans="1:77" s="1" customFormat="1" ht="28.5" customHeight="1" x14ac:dyDescent="0.4">
      <c r="A36" s="19">
        <v>29</v>
      </c>
      <c r="B36" s="75"/>
      <c r="C36" s="76"/>
      <c r="D36" s="76"/>
      <c r="E36" s="76"/>
      <c r="F36" s="74"/>
      <c r="G36" s="13"/>
      <c r="H36" s="22" t="s">
        <v>8</v>
      </c>
      <c r="I36" s="14"/>
      <c r="J36" s="22" t="s">
        <v>9</v>
      </c>
      <c r="K36" s="14"/>
      <c r="L36" s="22" t="s">
        <v>8</v>
      </c>
      <c r="M36" s="14"/>
      <c r="N36" s="2" t="str">
        <f t="shared" si="2"/>
        <v/>
      </c>
      <c r="O36" s="22" t="s">
        <v>10</v>
      </c>
      <c r="P36" s="22" t="str">
        <f t="shared" si="3"/>
        <v/>
      </c>
      <c r="Q36" s="3" t="s">
        <v>11</v>
      </c>
      <c r="R36" s="79"/>
      <c r="S36" s="80"/>
      <c r="T36" s="4" t="s">
        <v>12</v>
      </c>
      <c r="U36" s="79"/>
      <c r="V36" s="80"/>
      <c r="W36" s="4" t="s">
        <v>12</v>
      </c>
      <c r="X36" s="80"/>
      <c r="Y36" s="81"/>
      <c r="Z36" s="4" t="s">
        <v>12</v>
      </c>
      <c r="AA36" s="15"/>
      <c r="AB36" s="5" t="str">
        <f t="shared" si="4"/>
        <v/>
      </c>
      <c r="AC36" s="20" t="s">
        <v>8</v>
      </c>
      <c r="AD36" s="6" t="str">
        <f t="shared" si="16"/>
        <v/>
      </c>
      <c r="AE36" s="20" t="s">
        <v>9</v>
      </c>
      <c r="AF36" s="6" t="str">
        <f t="shared" si="5"/>
        <v/>
      </c>
      <c r="AG36" s="20" t="s">
        <v>8</v>
      </c>
      <c r="AH36" s="6" t="str">
        <f t="shared" si="6"/>
        <v/>
      </c>
      <c r="AI36" s="7" t="str">
        <f t="shared" si="7"/>
        <v/>
      </c>
      <c r="AJ36" s="20" t="s">
        <v>10</v>
      </c>
      <c r="AK36" s="8" t="str">
        <f t="shared" si="8"/>
        <v/>
      </c>
      <c r="AL36" s="9" t="s">
        <v>11</v>
      </c>
      <c r="AM36" s="7" t="str">
        <f t="shared" si="9"/>
        <v/>
      </c>
      <c r="AN36" s="20" t="s">
        <v>10</v>
      </c>
      <c r="AO36" s="8" t="str">
        <f t="shared" si="10"/>
        <v/>
      </c>
      <c r="AP36" s="10" t="s">
        <v>11</v>
      </c>
      <c r="AQ36" s="15" t="str" cm="1">
        <f t="array" ref="AQ36">IF(tbl利用[[#This Row],[利用日]]="","",ROW()-ROW(tbl利用[#Headers]))</f>
        <v/>
      </c>
      <c r="AR36" s="32" t="str">
        <f t="shared" ref="AR36:AR42" si="31">IF(B36="","",B36)</f>
        <v/>
      </c>
      <c r="AS36" s="15"/>
      <c r="AT36" s="43" t="str">
        <f>IF(F36="","",F36)</f>
        <v/>
      </c>
      <c r="AU36" s="1" t="str">
        <f>IF(F36="利用区分１",AI36,AM36)</f>
        <v/>
      </c>
      <c r="AV36" s="1" t="str">
        <f>IF(F36="利用区分１",AK36,AO36)</f>
        <v/>
      </c>
      <c r="AW36" s="1" t="str">
        <f>IF(tbl利用[[#This Row],[利用日]]="","",N(tbl利用[[#This Row],[利用時間_時]])*60+N(tbl利用[[#This Row],[利用時間_分]]))</f>
        <v/>
      </c>
      <c r="AX36" s="44" t="str">
        <f t="shared" si="15"/>
        <v/>
      </c>
      <c r="AY36" s="44" t="str">
        <f t="shared" si="1"/>
        <v/>
      </c>
      <c r="AZ36" s="45" t="str">
        <f>IF(tbl利用[[#This Row],[利用日]]="","",MAX(0,N(tbl利用[[#This Row],[割引前利用額]])-N(tbl利用[[#This Row],[割引額]])))</f>
        <v/>
      </c>
      <c r="BA36" s="45" t="str">
        <f>IF(OR(tbl利用[[#This Row],[利用日]]="",tbl利用[[#This Row],[利用分数]]&lt;=0),"",N(tbl利用[[#This Row],[割引前利用額]])/tbl利用[[#This Row],[利用分数]]*60)</f>
        <v/>
      </c>
      <c r="BB36" s="45" t="str">
        <f>IF(tbl利用[[#This Row],[利用区分]]="","",_xlfn.XLOOKUP(tbl利用[[#This Row],[利用区分]],$AQ$4:$AQ$5,$AR$4:$AR$5,"区分未登録"))</f>
        <v/>
      </c>
      <c r="BC36" s="45" t="str">
        <f>IF(OR(tbl利用[[#This Row],[通常時間単価]]="",NOT(ISNUMBER(tbl利用[[#This Row],[上限単価]]))),"",MIN(tbl利用[[#This Row],[通常時間単価]],tbl利用[[#This Row],[上限単価]]))</f>
        <v/>
      </c>
      <c r="BD36" s="45" t="str">
        <f>IF(tbl利用[[#This Row],[利用日]]="","",tbl利用[[#This Row],[利用分数]]/60*tbl利用[[#This Row],[基準単価]])</f>
        <v/>
      </c>
      <c r="BE36" s="45" t="str">
        <f>IF(OR(tbl利用[[#This Row],[利用日]]="",tbl利用[[#This Row],[利用区分]]=""),"",TEXT(tbl利用[[#This Row],[利用日]],"yyyymmdd")&amp;"|"&amp;tbl利用[[#This Row],[利用区分]])</f>
        <v/>
      </c>
      <c r="BF36" s="45" t="str">
        <f>IF(tbl利用[[#This Row],[日別区分キー]]="","",SUMIFS(tbl利用[明細実支出額],tbl利用[日別区分キー],tbl利用[[#This Row],[日別区分キー]]))</f>
        <v/>
      </c>
      <c r="BG36" s="45" t="str">
        <f>IF(tbl利用[[#This Row],[日別区分キー]]="","",SUMIFS(tbl利用[処理前明細基準額],tbl利用[日別区分キー],tbl利用[[#This Row],[日別区分キー]]))</f>
        <v/>
      </c>
      <c r="BH36" s="45" t="str">
        <f>IF(tbl利用[[#This Row],[日別区分キー]]="","",ROUNDDOWN(MIN(tbl利用[[#This Row],[日別区分実支出額]],tbl利用[[#This Row],[日別区分処理前基準額]]),0))</f>
        <v/>
      </c>
      <c r="BI36" s="45" t="str">
        <f>IF(tbl利用[[#This Row],[日別区分キー]]="","",MAX(0,tbl利用[[#This Row],[日別区分処理前基準額]]-tbl利用[[#This Row],[日別区分実支出額]]))</f>
        <v/>
      </c>
      <c r="BJ36" s="45">
        <f>IF(OR(tbl利用[[#This Row],[利用日]]="",tbl利用[[#This Row],[基準単価]]&lt;=0),0,MIN(tbl利用[[#This Row],[利用分数]],ROUNDDOWN(tbl利用[[#This Row],[日別区分余裕額]]/(tbl利用[[#This Row],[基準単価]]/60),0)))</f>
        <v>0</v>
      </c>
      <c r="BK36" s="50"/>
      <c r="BL36" s="45" t="str">
        <f>IF(tbl利用[[#This Row],[利用日]]="","",MAX(0,tbl利用[[#This Row],[利用分数]]-N(tbl利用[[#This Row],[切捨分数]])))</f>
        <v/>
      </c>
      <c r="BM36" s="45" t="str">
        <f>IF(tbl利用[[#This Row],[利用日]]="","",tbl利用[[#This Row],[処理後利用分数]]/60*tbl利用[[#This Row],[基準単価]])</f>
        <v/>
      </c>
      <c r="BN36" s="45" t="str">
        <f>IF(tbl利用[[#This Row],[日別区分キー]]="","",SUMIFS(tbl利用[処理後明細基準額],tbl利用[日別区分キー],tbl利用[[#This Row],[日別区分キー]]))</f>
        <v/>
      </c>
      <c r="BO36" s="45" t="str">
        <f>IF(tbl利用[[#This Row],[日別区分キー]]="","",ROUNDDOWN(MIN(tbl利用[[#This Row],[日別区分実支出額]],tbl利用[[#This Row],[日別区分処理後基準額]]),0))</f>
        <v/>
      </c>
      <c r="BP36" s="45" t="str">
        <f>IF(tbl利用[[#This Row],[日別区分キー]]="","",tbl利用[[#This Row],[日別区分処理前補助額]]-tbl利用[[#This Row],[日別区分補助額]])</f>
        <v/>
      </c>
      <c r="BQ36" s="45" t="str">
        <f>IF(OR(tbl利用[[#This Row],[日別区分キー]]="",tbl利用[[#This Row],[処理後利用分数]]&lt;=0),"",ROUNDDOWN(MIN(tbl利用[[#This Row],[日別区分実支出額]],tbl利用[[#This Row],[日別区分処理後基準額]]-tbl利用[[#This Row],[基準単価]]/60),0))</f>
        <v/>
      </c>
      <c r="BR36" s="52" t="str">
        <f>IF(tbl利用[[#This Row],[次の1分切捨時補助額]]="","",tbl利用[[#This Row],[日別区分補助額]]-tbl利用[[#This Row],[次の1分切捨時補助額]])</f>
        <v/>
      </c>
      <c r="BS36" s="45" t="str">
        <f>IF(tbl利用[[#This Row],[日別区分キー]]="","",--(COUNTIF(INDEX(tbl利用[日別区分キー],1):tbl利用[[#This Row],[日別区分キー]],tbl利用[[#This Row],[日別区分キー]])=1))</f>
        <v/>
      </c>
      <c r="BT36" s="45" t="str">
        <f>IF(tbl利用[[#This Row],[利用区分]]="","",SUMIFS(tbl利用[利用分数],tbl利用[利用区分],tbl利用[[#This Row],[利用区分]]))</f>
        <v/>
      </c>
      <c r="BU36" s="45" t="str">
        <f>IF(tbl利用[[#This Row],[利用区分]]="","",MOD(tbl利用[[#This Row],[区分総利用分数]],60))</f>
        <v/>
      </c>
      <c r="BV36" s="45" t="str">
        <f>IF(tbl利用[[#This Row],[利用区分]]="","",SUMIFS(tbl利用[切捨分数],tbl利用[利用区分],tbl利用[[#This Row],[利用区分]]))</f>
        <v/>
      </c>
      <c r="BW36" s="45" t="str">
        <f>IF(tbl利用[[#This Row],[利用区分]]="","",IF(tbl利用[[#This Row],[区分必要切捨分数]]=tbl利用[[#This Row],[区分入力切捨合計]],"OK","要確認"))</f>
        <v/>
      </c>
      <c r="BX36"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36" s="46"/>
    </row>
    <row r="37" spans="1:77" s="1" customFormat="1" ht="28.5" customHeight="1" x14ac:dyDescent="0.4">
      <c r="A37" s="19">
        <v>30</v>
      </c>
      <c r="B37" s="75"/>
      <c r="C37" s="76"/>
      <c r="D37" s="76"/>
      <c r="E37" s="76"/>
      <c r="F37" s="74"/>
      <c r="G37" s="13"/>
      <c r="H37" s="22" t="s">
        <v>8</v>
      </c>
      <c r="I37" s="14"/>
      <c r="J37" s="22" t="s">
        <v>9</v>
      </c>
      <c r="K37" s="14"/>
      <c r="L37" s="22" t="s">
        <v>8</v>
      </c>
      <c r="M37" s="14"/>
      <c r="N37" s="2" t="str">
        <f t="shared" si="2"/>
        <v/>
      </c>
      <c r="O37" s="22" t="s">
        <v>10</v>
      </c>
      <c r="P37" s="22" t="str">
        <f t="shared" si="3"/>
        <v/>
      </c>
      <c r="Q37" s="3" t="s">
        <v>11</v>
      </c>
      <c r="R37" s="79"/>
      <c r="S37" s="80"/>
      <c r="T37" s="4" t="s">
        <v>12</v>
      </c>
      <c r="U37" s="79"/>
      <c r="V37" s="80"/>
      <c r="W37" s="4" t="s">
        <v>12</v>
      </c>
      <c r="X37" s="80"/>
      <c r="Y37" s="81"/>
      <c r="Z37" s="4" t="s">
        <v>12</v>
      </c>
      <c r="AA37" s="15"/>
      <c r="AB37" s="5" t="str">
        <f t="shared" si="4"/>
        <v/>
      </c>
      <c r="AC37" s="20" t="s">
        <v>8</v>
      </c>
      <c r="AD37" s="6" t="str">
        <f t="shared" si="16"/>
        <v/>
      </c>
      <c r="AE37" s="20" t="s">
        <v>9</v>
      </c>
      <c r="AF37" s="6" t="str">
        <f t="shared" si="5"/>
        <v/>
      </c>
      <c r="AG37" s="20" t="s">
        <v>8</v>
      </c>
      <c r="AH37" s="6" t="str">
        <f t="shared" si="6"/>
        <v/>
      </c>
      <c r="AI37" s="7" t="str">
        <f t="shared" si="7"/>
        <v/>
      </c>
      <c r="AJ37" s="20" t="s">
        <v>10</v>
      </c>
      <c r="AK37" s="8" t="str">
        <f t="shared" si="8"/>
        <v/>
      </c>
      <c r="AL37" s="9" t="s">
        <v>11</v>
      </c>
      <c r="AM37" s="7" t="str">
        <f t="shared" si="9"/>
        <v/>
      </c>
      <c r="AN37" s="20" t="s">
        <v>10</v>
      </c>
      <c r="AO37" s="8" t="str">
        <f t="shared" si="10"/>
        <v/>
      </c>
      <c r="AP37" s="10" t="s">
        <v>11</v>
      </c>
      <c r="AQ37" s="15" t="str" cm="1">
        <f t="array" ref="AQ37">IF(tbl利用[[#This Row],[利用日]]="","",ROW()-ROW(tbl利用[#Headers]))</f>
        <v/>
      </c>
      <c r="AR37" s="32" t="str">
        <f t="shared" si="31"/>
        <v/>
      </c>
      <c r="AS37" s="15"/>
      <c r="AT37" s="43" t="str">
        <f t="shared" ref="AT37:AT42" si="32">IF(F37="","",F37)</f>
        <v/>
      </c>
      <c r="AU37" s="1" t="str">
        <f t="shared" ref="AU37:AU42" si="33">IF(F37="利用区分１",AI37,AM37)</f>
        <v/>
      </c>
      <c r="AV37" s="1" t="str">
        <f t="shared" ref="AV37:AV42" si="34">IF(F37="利用区分１",AK37,AO37)</f>
        <v/>
      </c>
      <c r="AW37" s="1" t="str">
        <f>IF(tbl利用[[#This Row],[利用日]]="","",N(tbl利用[[#This Row],[利用時間_時]])*60+N(tbl利用[[#This Row],[利用時間_分]]))</f>
        <v/>
      </c>
      <c r="AX37" s="44" t="str">
        <f t="shared" si="15"/>
        <v/>
      </c>
      <c r="AY37" s="44" t="str">
        <f t="shared" si="1"/>
        <v/>
      </c>
      <c r="AZ37" s="45" t="str">
        <f>IF(tbl利用[[#This Row],[利用日]]="","",MAX(0,N(tbl利用[[#This Row],[割引前利用額]])-N(tbl利用[[#This Row],[割引額]])))</f>
        <v/>
      </c>
      <c r="BA37" s="45" t="str">
        <f>IF(OR(tbl利用[[#This Row],[利用日]]="",tbl利用[[#This Row],[利用分数]]&lt;=0),"",N(tbl利用[[#This Row],[割引前利用額]])/tbl利用[[#This Row],[利用分数]]*60)</f>
        <v/>
      </c>
      <c r="BB37" s="45" t="str">
        <f>IF(tbl利用[[#This Row],[利用区分]]="","",_xlfn.XLOOKUP(tbl利用[[#This Row],[利用区分]],$AQ$4:$AQ$5,$AR$4:$AR$5,"区分未登録"))</f>
        <v/>
      </c>
      <c r="BC37" s="45" t="str">
        <f>IF(OR(tbl利用[[#This Row],[通常時間単価]]="",NOT(ISNUMBER(tbl利用[[#This Row],[上限単価]]))),"",MIN(tbl利用[[#This Row],[通常時間単価]],tbl利用[[#This Row],[上限単価]]))</f>
        <v/>
      </c>
      <c r="BD37" s="45" t="str">
        <f>IF(tbl利用[[#This Row],[利用日]]="","",tbl利用[[#This Row],[利用分数]]/60*tbl利用[[#This Row],[基準単価]])</f>
        <v/>
      </c>
      <c r="BE37" s="45" t="str">
        <f>IF(OR(tbl利用[[#This Row],[利用日]]="",tbl利用[[#This Row],[利用区分]]=""),"",TEXT(tbl利用[[#This Row],[利用日]],"yyyymmdd")&amp;"|"&amp;tbl利用[[#This Row],[利用区分]])</f>
        <v/>
      </c>
      <c r="BF37" s="45" t="str">
        <f>IF(tbl利用[[#This Row],[日別区分キー]]="","",SUMIFS(tbl利用[明細実支出額],tbl利用[日別区分キー],tbl利用[[#This Row],[日別区分キー]]))</f>
        <v/>
      </c>
      <c r="BG37" s="45" t="str">
        <f>IF(tbl利用[[#This Row],[日別区分キー]]="","",SUMIFS(tbl利用[処理前明細基準額],tbl利用[日別区分キー],tbl利用[[#This Row],[日別区分キー]]))</f>
        <v/>
      </c>
      <c r="BH37" s="45" t="str">
        <f>IF(tbl利用[[#This Row],[日別区分キー]]="","",ROUNDDOWN(MIN(tbl利用[[#This Row],[日別区分実支出額]],tbl利用[[#This Row],[日別区分処理前基準額]]),0))</f>
        <v/>
      </c>
      <c r="BI37" s="45" t="str">
        <f>IF(tbl利用[[#This Row],[日別区分キー]]="","",MAX(0,tbl利用[[#This Row],[日別区分処理前基準額]]-tbl利用[[#This Row],[日別区分実支出額]]))</f>
        <v/>
      </c>
      <c r="BJ37" s="45">
        <f>IF(OR(tbl利用[[#This Row],[利用日]]="",tbl利用[[#This Row],[基準単価]]&lt;=0),0,MIN(tbl利用[[#This Row],[利用分数]],ROUNDDOWN(tbl利用[[#This Row],[日別区分余裕額]]/(tbl利用[[#This Row],[基準単価]]/60),0)))</f>
        <v>0</v>
      </c>
      <c r="BK37" s="50"/>
      <c r="BL37" s="45" t="str">
        <f>IF(tbl利用[[#This Row],[利用日]]="","",MAX(0,tbl利用[[#This Row],[利用分数]]-N(tbl利用[[#This Row],[切捨分数]])))</f>
        <v/>
      </c>
      <c r="BM37" s="45" t="str">
        <f>IF(tbl利用[[#This Row],[利用日]]="","",tbl利用[[#This Row],[処理後利用分数]]/60*tbl利用[[#This Row],[基準単価]])</f>
        <v/>
      </c>
      <c r="BN37" s="45" t="str">
        <f>IF(tbl利用[[#This Row],[日別区分キー]]="","",SUMIFS(tbl利用[処理後明細基準額],tbl利用[日別区分キー],tbl利用[[#This Row],[日別区分キー]]))</f>
        <v/>
      </c>
      <c r="BO37" s="45" t="str">
        <f>IF(tbl利用[[#This Row],[日別区分キー]]="","",ROUNDDOWN(MIN(tbl利用[[#This Row],[日別区分実支出額]],tbl利用[[#This Row],[日別区分処理後基準額]]),0))</f>
        <v/>
      </c>
      <c r="BP37" s="45" t="str">
        <f>IF(tbl利用[[#This Row],[日別区分キー]]="","",tbl利用[[#This Row],[日別区分処理前補助額]]-tbl利用[[#This Row],[日別区分補助額]])</f>
        <v/>
      </c>
      <c r="BQ37" s="45" t="str">
        <f>IF(OR(tbl利用[[#This Row],[日別区分キー]]="",tbl利用[[#This Row],[処理後利用分数]]&lt;=0),"",ROUNDDOWN(MIN(tbl利用[[#This Row],[日別区分実支出額]],tbl利用[[#This Row],[日別区分処理後基準額]]-tbl利用[[#This Row],[基準単価]]/60),0))</f>
        <v/>
      </c>
      <c r="BR37" s="52" t="str">
        <f>IF(tbl利用[[#This Row],[次の1分切捨時補助額]]="","",tbl利用[[#This Row],[日別区分補助額]]-tbl利用[[#This Row],[次の1分切捨時補助額]])</f>
        <v/>
      </c>
      <c r="BS37" s="45" t="str">
        <f>IF(tbl利用[[#This Row],[日別区分キー]]="","",--(COUNTIF(INDEX(tbl利用[日別区分キー],1):tbl利用[[#This Row],[日別区分キー]],tbl利用[[#This Row],[日別区分キー]])=1))</f>
        <v/>
      </c>
      <c r="BT37" s="45" t="str">
        <f>IF(tbl利用[[#This Row],[利用区分]]="","",SUMIFS(tbl利用[利用分数],tbl利用[利用区分],tbl利用[[#This Row],[利用区分]]))</f>
        <v/>
      </c>
      <c r="BU37" s="45" t="str">
        <f>IF(tbl利用[[#This Row],[利用区分]]="","",MOD(tbl利用[[#This Row],[区分総利用分数]],60))</f>
        <v/>
      </c>
      <c r="BV37" s="45" t="str">
        <f>IF(tbl利用[[#This Row],[利用区分]]="","",SUMIFS(tbl利用[切捨分数],tbl利用[利用区分],tbl利用[[#This Row],[利用区分]]))</f>
        <v/>
      </c>
      <c r="BW37" s="45" t="str">
        <f>IF(tbl利用[[#This Row],[利用区分]]="","",IF(tbl利用[[#This Row],[区分必要切捨分数]]=tbl利用[[#This Row],[区分入力切捨合計]],"OK","要確認"))</f>
        <v/>
      </c>
      <c r="BX37"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37" s="46"/>
    </row>
    <row r="38" spans="1:77" s="1" customFormat="1" ht="28.5" customHeight="1" x14ac:dyDescent="0.4">
      <c r="A38" s="19">
        <v>31</v>
      </c>
      <c r="B38" s="75"/>
      <c r="C38" s="76"/>
      <c r="D38" s="76"/>
      <c r="E38" s="76"/>
      <c r="F38" s="74"/>
      <c r="G38" s="13"/>
      <c r="H38" s="22" t="s">
        <v>8</v>
      </c>
      <c r="I38" s="14"/>
      <c r="J38" s="22" t="s">
        <v>9</v>
      </c>
      <c r="K38" s="14"/>
      <c r="L38" s="22" t="s">
        <v>8</v>
      </c>
      <c r="M38" s="14"/>
      <c r="N38" s="2" t="str">
        <f t="shared" si="2"/>
        <v/>
      </c>
      <c r="O38" s="22" t="s">
        <v>10</v>
      </c>
      <c r="P38" s="22" t="str">
        <f t="shared" si="3"/>
        <v/>
      </c>
      <c r="Q38" s="3" t="s">
        <v>11</v>
      </c>
      <c r="R38" s="79"/>
      <c r="S38" s="80"/>
      <c r="T38" s="4" t="s">
        <v>12</v>
      </c>
      <c r="U38" s="79"/>
      <c r="V38" s="80"/>
      <c r="W38" s="4" t="s">
        <v>12</v>
      </c>
      <c r="X38" s="80"/>
      <c r="Y38" s="81"/>
      <c r="Z38" s="4" t="s">
        <v>12</v>
      </c>
      <c r="AA38" s="15"/>
      <c r="AB38" s="5" t="str">
        <f>IF(K38&lt;7,"",IF(G38&gt;22,0,IF(G38&lt;7,7,G38)))</f>
        <v/>
      </c>
      <c r="AC38" s="20" t="s">
        <v>8</v>
      </c>
      <c r="AD38" s="6" t="str">
        <f t="shared" si="16"/>
        <v/>
      </c>
      <c r="AE38" s="20" t="s">
        <v>9</v>
      </c>
      <c r="AF38" s="6" t="str">
        <f t="shared" si="5"/>
        <v/>
      </c>
      <c r="AG38" s="20" t="s">
        <v>8</v>
      </c>
      <c r="AH38" s="6" t="str">
        <f t="shared" si="6"/>
        <v/>
      </c>
      <c r="AI38" s="7" t="str">
        <f t="shared" si="7"/>
        <v/>
      </c>
      <c r="AJ38" s="20" t="s">
        <v>10</v>
      </c>
      <c r="AK38" s="8" t="str">
        <f t="shared" si="8"/>
        <v/>
      </c>
      <c r="AL38" s="9" t="s">
        <v>11</v>
      </c>
      <c r="AM38" s="7" t="str">
        <f t="shared" si="9"/>
        <v/>
      </c>
      <c r="AN38" s="20" t="s">
        <v>10</v>
      </c>
      <c r="AO38" s="8" t="str">
        <f t="shared" si="10"/>
        <v/>
      </c>
      <c r="AP38" s="10" t="s">
        <v>11</v>
      </c>
      <c r="AQ38" s="15" t="str" cm="1">
        <f t="array" ref="AQ38">IF(tbl利用[[#This Row],[利用日]]="","",ROW()-ROW(tbl利用[#Headers]))</f>
        <v/>
      </c>
      <c r="AR38" s="32" t="str">
        <f t="shared" si="31"/>
        <v/>
      </c>
      <c r="AS38" s="15"/>
      <c r="AT38" s="43" t="str">
        <f t="shared" si="32"/>
        <v/>
      </c>
      <c r="AU38" s="1" t="str">
        <f t="shared" si="33"/>
        <v/>
      </c>
      <c r="AV38" s="1" t="str">
        <f t="shared" si="34"/>
        <v/>
      </c>
      <c r="AW38" s="1" t="str">
        <f>IF(tbl利用[[#This Row],[利用日]]="","",N(tbl利用[[#This Row],[利用時間_時]])*60+N(tbl利用[[#This Row],[利用時間_分]]))</f>
        <v/>
      </c>
      <c r="AX38" s="44" t="str">
        <f t="shared" si="15"/>
        <v/>
      </c>
      <c r="AY38" s="44" t="str">
        <f t="shared" si="1"/>
        <v/>
      </c>
      <c r="AZ38" s="45" t="str">
        <f>IF(tbl利用[[#This Row],[利用日]]="","",MAX(0,N(tbl利用[[#This Row],[割引前利用額]])-N(tbl利用[[#This Row],[割引額]])))</f>
        <v/>
      </c>
      <c r="BA38" s="45" t="str">
        <f>IF(OR(tbl利用[[#This Row],[利用日]]="",tbl利用[[#This Row],[利用分数]]&lt;=0),"",N(tbl利用[[#This Row],[割引前利用額]])/tbl利用[[#This Row],[利用分数]]*60)</f>
        <v/>
      </c>
      <c r="BB38" s="45" t="str">
        <f>IF(tbl利用[[#This Row],[利用区分]]="","",_xlfn.XLOOKUP(tbl利用[[#This Row],[利用区分]],$AQ$4:$AQ$5,$AR$4:$AR$5,"区分未登録"))</f>
        <v/>
      </c>
      <c r="BC38" s="45" t="str">
        <f>IF(OR(tbl利用[[#This Row],[通常時間単価]]="",NOT(ISNUMBER(tbl利用[[#This Row],[上限単価]]))),"",MIN(tbl利用[[#This Row],[通常時間単価]],tbl利用[[#This Row],[上限単価]]))</f>
        <v/>
      </c>
      <c r="BD38" s="45" t="str">
        <f>IF(tbl利用[[#This Row],[利用日]]="","",tbl利用[[#This Row],[利用分数]]/60*tbl利用[[#This Row],[基準単価]])</f>
        <v/>
      </c>
      <c r="BE38" s="45" t="str">
        <f>IF(OR(tbl利用[[#This Row],[利用日]]="",tbl利用[[#This Row],[利用区分]]=""),"",TEXT(tbl利用[[#This Row],[利用日]],"yyyymmdd")&amp;"|"&amp;tbl利用[[#This Row],[利用区分]])</f>
        <v/>
      </c>
      <c r="BF38" s="45" t="str">
        <f>IF(tbl利用[[#This Row],[日別区分キー]]="","",SUMIFS(tbl利用[明細実支出額],tbl利用[日別区分キー],tbl利用[[#This Row],[日別区分キー]]))</f>
        <v/>
      </c>
      <c r="BG38" s="45" t="str">
        <f>IF(tbl利用[[#This Row],[日別区分キー]]="","",SUMIFS(tbl利用[処理前明細基準額],tbl利用[日別区分キー],tbl利用[[#This Row],[日別区分キー]]))</f>
        <v/>
      </c>
      <c r="BH38" s="45" t="str">
        <f>IF(tbl利用[[#This Row],[日別区分キー]]="","",ROUNDDOWN(MIN(tbl利用[[#This Row],[日別区分実支出額]],tbl利用[[#This Row],[日別区分処理前基準額]]),0))</f>
        <v/>
      </c>
      <c r="BI38" s="45" t="str">
        <f>IF(tbl利用[[#This Row],[日別区分キー]]="","",MAX(0,tbl利用[[#This Row],[日別区分処理前基準額]]-tbl利用[[#This Row],[日別区分実支出額]]))</f>
        <v/>
      </c>
      <c r="BJ38" s="45">
        <f>IF(OR(tbl利用[[#This Row],[利用日]]="",tbl利用[[#This Row],[基準単価]]&lt;=0),0,MIN(tbl利用[[#This Row],[利用分数]],ROUNDDOWN(tbl利用[[#This Row],[日別区分余裕額]]/(tbl利用[[#This Row],[基準単価]]/60),0)))</f>
        <v>0</v>
      </c>
      <c r="BK38" s="50"/>
      <c r="BL38" s="45" t="str">
        <f>IF(tbl利用[[#This Row],[利用日]]="","",MAX(0,tbl利用[[#This Row],[利用分数]]-N(tbl利用[[#This Row],[切捨分数]])))</f>
        <v/>
      </c>
      <c r="BM38" s="45" t="str">
        <f>IF(tbl利用[[#This Row],[利用日]]="","",tbl利用[[#This Row],[処理後利用分数]]/60*tbl利用[[#This Row],[基準単価]])</f>
        <v/>
      </c>
      <c r="BN38" s="45" t="str">
        <f>IF(tbl利用[[#This Row],[日別区分キー]]="","",SUMIFS(tbl利用[処理後明細基準額],tbl利用[日別区分キー],tbl利用[[#This Row],[日別区分キー]]))</f>
        <v/>
      </c>
      <c r="BO38" s="45" t="str">
        <f>IF(tbl利用[[#This Row],[日別区分キー]]="","",ROUNDDOWN(MIN(tbl利用[[#This Row],[日別区分実支出額]],tbl利用[[#This Row],[日別区分処理後基準額]]),0))</f>
        <v/>
      </c>
      <c r="BP38" s="45" t="str">
        <f>IF(tbl利用[[#This Row],[日別区分キー]]="","",tbl利用[[#This Row],[日別区分処理前補助額]]-tbl利用[[#This Row],[日別区分補助額]])</f>
        <v/>
      </c>
      <c r="BQ38" s="45" t="str">
        <f>IF(OR(tbl利用[[#This Row],[日別区分キー]]="",tbl利用[[#This Row],[処理後利用分数]]&lt;=0),"",ROUNDDOWN(MIN(tbl利用[[#This Row],[日別区分実支出額]],tbl利用[[#This Row],[日別区分処理後基準額]]-tbl利用[[#This Row],[基準単価]]/60),0))</f>
        <v/>
      </c>
      <c r="BR38" s="52" t="str">
        <f>IF(tbl利用[[#This Row],[次の1分切捨時補助額]]="","",tbl利用[[#This Row],[日別区分補助額]]-tbl利用[[#This Row],[次の1分切捨時補助額]])</f>
        <v/>
      </c>
      <c r="BS38" s="45" t="str">
        <f>IF(tbl利用[[#This Row],[日別区分キー]]="","",--(COUNTIF(INDEX(tbl利用[日別区分キー],1):tbl利用[[#This Row],[日別区分キー]],tbl利用[[#This Row],[日別区分キー]])=1))</f>
        <v/>
      </c>
      <c r="BT38" s="45" t="str">
        <f>IF(tbl利用[[#This Row],[利用区分]]="","",SUMIFS(tbl利用[利用分数],tbl利用[利用区分],tbl利用[[#This Row],[利用区分]]))</f>
        <v/>
      </c>
      <c r="BU38" s="45" t="str">
        <f>IF(tbl利用[[#This Row],[利用区分]]="","",MOD(tbl利用[[#This Row],[区分総利用分数]],60))</f>
        <v/>
      </c>
      <c r="BV38" s="45" t="str">
        <f>IF(tbl利用[[#This Row],[利用区分]]="","",SUMIFS(tbl利用[切捨分数],tbl利用[利用区分],tbl利用[[#This Row],[利用区分]]))</f>
        <v/>
      </c>
      <c r="BW38" s="45" t="str">
        <f>IF(tbl利用[[#This Row],[利用区分]]="","",IF(tbl利用[[#This Row],[区分必要切捨分数]]=tbl利用[[#This Row],[区分入力切捨合計]],"OK","要確認"))</f>
        <v/>
      </c>
      <c r="BX38"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38" s="46"/>
    </row>
    <row r="39" spans="1:77" s="1" customFormat="1" ht="28.5" customHeight="1" x14ac:dyDescent="0.4">
      <c r="A39" s="19">
        <v>32</v>
      </c>
      <c r="B39" s="75"/>
      <c r="C39" s="76"/>
      <c r="D39" s="76"/>
      <c r="E39" s="76"/>
      <c r="F39" s="74"/>
      <c r="G39" s="13"/>
      <c r="H39" s="22" t="s">
        <v>8</v>
      </c>
      <c r="I39" s="14"/>
      <c r="J39" s="22" t="s">
        <v>9</v>
      </c>
      <c r="K39" s="14"/>
      <c r="L39" s="22" t="s">
        <v>8</v>
      </c>
      <c r="M39" s="14"/>
      <c r="N39" s="2" t="str">
        <f t="shared" si="2"/>
        <v/>
      </c>
      <c r="O39" s="22" t="s">
        <v>10</v>
      </c>
      <c r="P39" s="22" t="str">
        <f t="shared" si="3"/>
        <v/>
      </c>
      <c r="Q39" s="3" t="s">
        <v>11</v>
      </c>
      <c r="R39" s="79"/>
      <c r="S39" s="80"/>
      <c r="T39" s="4" t="s">
        <v>12</v>
      </c>
      <c r="U39" s="79"/>
      <c r="V39" s="80"/>
      <c r="W39" s="4" t="s">
        <v>12</v>
      </c>
      <c r="X39" s="80"/>
      <c r="Y39" s="81"/>
      <c r="Z39" s="4" t="s">
        <v>12</v>
      </c>
      <c r="AA39" s="15"/>
      <c r="AB39" s="5" t="str">
        <f t="shared" si="4"/>
        <v/>
      </c>
      <c r="AC39" s="20" t="s">
        <v>8</v>
      </c>
      <c r="AD39" s="6" t="str">
        <f t="shared" si="16"/>
        <v/>
      </c>
      <c r="AE39" s="20" t="s">
        <v>9</v>
      </c>
      <c r="AF39" s="6" t="str">
        <f t="shared" si="5"/>
        <v/>
      </c>
      <c r="AG39" s="20" t="s">
        <v>8</v>
      </c>
      <c r="AH39" s="6" t="str">
        <f t="shared" si="6"/>
        <v/>
      </c>
      <c r="AI39" s="7" t="str">
        <f t="shared" si="7"/>
        <v/>
      </c>
      <c r="AJ39" s="20" t="s">
        <v>10</v>
      </c>
      <c r="AK39" s="8" t="str">
        <f t="shared" si="8"/>
        <v/>
      </c>
      <c r="AL39" s="9" t="s">
        <v>11</v>
      </c>
      <c r="AM39" s="7" t="str">
        <f t="shared" si="9"/>
        <v/>
      </c>
      <c r="AN39" s="20" t="s">
        <v>10</v>
      </c>
      <c r="AO39" s="8" t="str">
        <f t="shared" si="10"/>
        <v/>
      </c>
      <c r="AP39" s="10" t="s">
        <v>11</v>
      </c>
      <c r="AQ39" s="15" t="str" cm="1">
        <f t="array" ref="AQ39">IF(tbl利用[[#This Row],[利用日]]="","",ROW()-ROW(tbl利用[#Headers]))</f>
        <v/>
      </c>
      <c r="AR39" s="32" t="str">
        <f t="shared" si="31"/>
        <v/>
      </c>
      <c r="AS39" s="15"/>
      <c r="AT39" s="43" t="str">
        <f t="shared" si="32"/>
        <v/>
      </c>
      <c r="AU39" s="1" t="str">
        <f t="shared" si="33"/>
        <v/>
      </c>
      <c r="AV39" s="1" t="str">
        <f t="shared" si="34"/>
        <v/>
      </c>
      <c r="AW39" s="1" t="str">
        <f>IF(tbl利用[[#This Row],[利用日]]="","",N(tbl利用[[#This Row],[利用時間_時]])*60+N(tbl利用[[#This Row],[利用時間_分]]))</f>
        <v/>
      </c>
      <c r="AX39" s="44" t="str">
        <f t="shared" si="15"/>
        <v/>
      </c>
      <c r="AY39" s="44" t="str">
        <f t="shared" si="1"/>
        <v/>
      </c>
      <c r="AZ39" s="45" t="str">
        <f>IF(tbl利用[[#This Row],[利用日]]="","",MAX(0,N(tbl利用[[#This Row],[割引前利用額]])-N(tbl利用[[#This Row],[割引額]])))</f>
        <v/>
      </c>
      <c r="BA39" s="45" t="str">
        <f>IF(OR(tbl利用[[#This Row],[利用日]]="",tbl利用[[#This Row],[利用分数]]&lt;=0),"",N(tbl利用[[#This Row],[割引前利用額]])/tbl利用[[#This Row],[利用分数]]*60)</f>
        <v/>
      </c>
      <c r="BB39" s="45" t="str">
        <f>IF(tbl利用[[#This Row],[利用区分]]="","",_xlfn.XLOOKUP(tbl利用[[#This Row],[利用区分]],$AQ$4:$AQ$5,$AR$4:$AR$5,"区分未登録"))</f>
        <v/>
      </c>
      <c r="BC39" s="45" t="str">
        <f>IF(OR(tbl利用[[#This Row],[通常時間単価]]="",NOT(ISNUMBER(tbl利用[[#This Row],[上限単価]]))),"",MIN(tbl利用[[#This Row],[通常時間単価]],tbl利用[[#This Row],[上限単価]]))</f>
        <v/>
      </c>
      <c r="BD39" s="45" t="str">
        <f>IF(tbl利用[[#This Row],[利用日]]="","",tbl利用[[#This Row],[利用分数]]/60*tbl利用[[#This Row],[基準単価]])</f>
        <v/>
      </c>
      <c r="BE39" s="45" t="str">
        <f>IF(OR(tbl利用[[#This Row],[利用日]]="",tbl利用[[#This Row],[利用区分]]=""),"",TEXT(tbl利用[[#This Row],[利用日]],"yyyymmdd")&amp;"|"&amp;tbl利用[[#This Row],[利用区分]])</f>
        <v/>
      </c>
      <c r="BF39" s="45" t="str">
        <f>IF(tbl利用[[#This Row],[日別区分キー]]="","",SUMIFS(tbl利用[明細実支出額],tbl利用[日別区分キー],tbl利用[[#This Row],[日別区分キー]]))</f>
        <v/>
      </c>
      <c r="BG39" s="45" t="str">
        <f>IF(tbl利用[[#This Row],[日別区分キー]]="","",SUMIFS(tbl利用[処理前明細基準額],tbl利用[日別区分キー],tbl利用[[#This Row],[日別区分キー]]))</f>
        <v/>
      </c>
      <c r="BH39" s="45" t="str">
        <f>IF(tbl利用[[#This Row],[日別区分キー]]="","",ROUNDDOWN(MIN(tbl利用[[#This Row],[日別区分実支出額]],tbl利用[[#This Row],[日別区分処理前基準額]]),0))</f>
        <v/>
      </c>
      <c r="BI39" s="45" t="str">
        <f>IF(tbl利用[[#This Row],[日別区分キー]]="","",MAX(0,tbl利用[[#This Row],[日別区分処理前基準額]]-tbl利用[[#This Row],[日別区分実支出額]]))</f>
        <v/>
      </c>
      <c r="BJ39" s="45">
        <f>IF(OR(tbl利用[[#This Row],[利用日]]="",tbl利用[[#This Row],[基準単価]]&lt;=0),0,MIN(tbl利用[[#This Row],[利用分数]],ROUNDDOWN(tbl利用[[#This Row],[日別区分余裕額]]/(tbl利用[[#This Row],[基準単価]]/60),0)))</f>
        <v>0</v>
      </c>
      <c r="BK39" s="50"/>
      <c r="BL39" s="45" t="str">
        <f>IF(tbl利用[[#This Row],[利用日]]="","",MAX(0,tbl利用[[#This Row],[利用分数]]-N(tbl利用[[#This Row],[切捨分数]])))</f>
        <v/>
      </c>
      <c r="BM39" s="45" t="str">
        <f>IF(tbl利用[[#This Row],[利用日]]="","",tbl利用[[#This Row],[処理後利用分数]]/60*tbl利用[[#This Row],[基準単価]])</f>
        <v/>
      </c>
      <c r="BN39" s="45" t="str">
        <f>IF(tbl利用[[#This Row],[日別区分キー]]="","",SUMIFS(tbl利用[処理後明細基準額],tbl利用[日別区分キー],tbl利用[[#This Row],[日別区分キー]]))</f>
        <v/>
      </c>
      <c r="BO39" s="45" t="str">
        <f>IF(tbl利用[[#This Row],[日別区分キー]]="","",ROUNDDOWN(MIN(tbl利用[[#This Row],[日別区分実支出額]],tbl利用[[#This Row],[日別区分処理後基準額]]),0))</f>
        <v/>
      </c>
      <c r="BP39" s="45" t="str">
        <f>IF(tbl利用[[#This Row],[日別区分キー]]="","",tbl利用[[#This Row],[日別区分処理前補助額]]-tbl利用[[#This Row],[日別区分補助額]])</f>
        <v/>
      </c>
      <c r="BQ39" s="45" t="str">
        <f>IF(OR(tbl利用[[#This Row],[日別区分キー]]="",tbl利用[[#This Row],[処理後利用分数]]&lt;=0),"",ROUNDDOWN(MIN(tbl利用[[#This Row],[日別区分実支出額]],tbl利用[[#This Row],[日別区分処理後基準額]]-tbl利用[[#This Row],[基準単価]]/60),0))</f>
        <v/>
      </c>
      <c r="BR39" s="52" t="str">
        <f>IF(tbl利用[[#This Row],[次の1分切捨時補助額]]="","",tbl利用[[#This Row],[日別区分補助額]]-tbl利用[[#This Row],[次の1分切捨時補助額]])</f>
        <v/>
      </c>
      <c r="BS39" s="45" t="str">
        <f>IF(tbl利用[[#This Row],[日別区分キー]]="","",--(COUNTIF(INDEX(tbl利用[日別区分キー],1):tbl利用[[#This Row],[日別区分キー]],tbl利用[[#This Row],[日別区分キー]])=1))</f>
        <v/>
      </c>
      <c r="BT39" s="45" t="str">
        <f>IF(tbl利用[[#This Row],[利用区分]]="","",SUMIFS(tbl利用[利用分数],tbl利用[利用区分],tbl利用[[#This Row],[利用区分]]))</f>
        <v/>
      </c>
      <c r="BU39" s="45" t="str">
        <f>IF(tbl利用[[#This Row],[利用区分]]="","",MOD(tbl利用[[#This Row],[区分総利用分数]],60))</f>
        <v/>
      </c>
      <c r="BV39" s="45" t="str">
        <f>IF(tbl利用[[#This Row],[利用区分]]="","",SUMIFS(tbl利用[切捨分数],tbl利用[利用区分],tbl利用[[#This Row],[利用区分]]))</f>
        <v/>
      </c>
      <c r="BW39" s="45" t="str">
        <f>IF(tbl利用[[#This Row],[利用区分]]="","",IF(tbl利用[[#This Row],[区分必要切捨分数]]=tbl利用[[#This Row],[区分入力切捨合計]],"OK","要確認"))</f>
        <v/>
      </c>
      <c r="BX39"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39" s="46"/>
    </row>
    <row r="40" spans="1:77" s="1" customFormat="1" ht="28.5" customHeight="1" x14ac:dyDescent="0.4">
      <c r="A40" s="19">
        <v>33</v>
      </c>
      <c r="B40" s="75"/>
      <c r="C40" s="76"/>
      <c r="D40" s="76"/>
      <c r="E40" s="76"/>
      <c r="F40" s="74"/>
      <c r="G40" s="13"/>
      <c r="H40" s="22" t="s">
        <v>8</v>
      </c>
      <c r="I40" s="14"/>
      <c r="J40" s="22" t="s">
        <v>9</v>
      </c>
      <c r="K40" s="14"/>
      <c r="L40" s="22" t="s">
        <v>8</v>
      </c>
      <c r="M40" s="14"/>
      <c r="N40" s="2" t="str">
        <f t="shared" si="2"/>
        <v/>
      </c>
      <c r="O40" s="22" t="s">
        <v>10</v>
      </c>
      <c r="P40" s="22" t="str">
        <f t="shared" si="3"/>
        <v/>
      </c>
      <c r="Q40" s="3" t="s">
        <v>11</v>
      </c>
      <c r="R40" s="79"/>
      <c r="S40" s="80"/>
      <c r="T40" s="4" t="s">
        <v>12</v>
      </c>
      <c r="U40" s="79"/>
      <c r="V40" s="80"/>
      <c r="W40" s="4" t="s">
        <v>12</v>
      </c>
      <c r="X40" s="80"/>
      <c r="Y40" s="81"/>
      <c r="Z40" s="4" t="s">
        <v>12</v>
      </c>
      <c r="AA40" s="15"/>
      <c r="AB40" s="5" t="str">
        <f t="shared" si="4"/>
        <v/>
      </c>
      <c r="AC40" s="20" t="s">
        <v>8</v>
      </c>
      <c r="AD40" s="6" t="str">
        <f t="shared" si="16"/>
        <v/>
      </c>
      <c r="AE40" s="20" t="s">
        <v>9</v>
      </c>
      <c r="AF40" s="6" t="str">
        <f t="shared" si="5"/>
        <v/>
      </c>
      <c r="AG40" s="20" t="s">
        <v>8</v>
      </c>
      <c r="AH40" s="6" t="str">
        <f t="shared" si="6"/>
        <v/>
      </c>
      <c r="AI40" s="7" t="str">
        <f t="shared" si="7"/>
        <v/>
      </c>
      <c r="AJ40" s="20" t="s">
        <v>10</v>
      </c>
      <c r="AK40" s="8" t="str">
        <f t="shared" si="8"/>
        <v/>
      </c>
      <c r="AL40" s="9" t="s">
        <v>11</v>
      </c>
      <c r="AM40" s="7" t="str">
        <f t="shared" si="9"/>
        <v/>
      </c>
      <c r="AN40" s="20" t="s">
        <v>10</v>
      </c>
      <c r="AO40" s="8" t="str">
        <f t="shared" si="10"/>
        <v/>
      </c>
      <c r="AP40" s="10" t="s">
        <v>11</v>
      </c>
      <c r="AQ40" s="15" t="str" cm="1">
        <f t="array" ref="AQ40">IF(tbl利用[[#This Row],[利用日]]="","",ROW()-ROW(tbl利用[#Headers]))</f>
        <v/>
      </c>
      <c r="AR40" s="32" t="str">
        <f t="shared" si="31"/>
        <v/>
      </c>
      <c r="AS40" s="15"/>
      <c r="AT40" s="43" t="str">
        <f t="shared" si="32"/>
        <v/>
      </c>
      <c r="AU40" s="1" t="str">
        <f t="shared" si="33"/>
        <v/>
      </c>
      <c r="AV40" s="1" t="str">
        <f t="shared" si="34"/>
        <v/>
      </c>
      <c r="AW40" s="1" t="str">
        <f>IF(tbl利用[[#This Row],[利用日]]="","",N(tbl利用[[#This Row],[利用時間_時]])*60+N(tbl利用[[#This Row],[利用時間_分]]))</f>
        <v/>
      </c>
      <c r="AX40" s="44" t="str">
        <f t="shared" si="15"/>
        <v/>
      </c>
      <c r="AY40" s="44" t="str">
        <f t="shared" si="1"/>
        <v/>
      </c>
      <c r="AZ40" s="45" t="str">
        <f>IF(tbl利用[[#This Row],[利用日]]="","",MAX(0,N(tbl利用[[#This Row],[割引前利用額]])-N(tbl利用[[#This Row],[割引額]])))</f>
        <v/>
      </c>
      <c r="BA40" s="45" t="str">
        <f>IF(OR(tbl利用[[#This Row],[利用日]]="",tbl利用[[#This Row],[利用分数]]&lt;=0),"",N(tbl利用[[#This Row],[割引前利用額]])/tbl利用[[#This Row],[利用分数]]*60)</f>
        <v/>
      </c>
      <c r="BB40" s="45" t="str">
        <f>IF(tbl利用[[#This Row],[利用区分]]="","",_xlfn.XLOOKUP(tbl利用[[#This Row],[利用区分]],$AQ$4:$AQ$5,$AR$4:$AR$5,"区分未登録"))</f>
        <v/>
      </c>
      <c r="BC40" s="45" t="str">
        <f>IF(OR(tbl利用[[#This Row],[通常時間単価]]="",NOT(ISNUMBER(tbl利用[[#This Row],[上限単価]]))),"",MIN(tbl利用[[#This Row],[通常時間単価]],tbl利用[[#This Row],[上限単価]]))</f>
        <v/>
      </c>
      <c r="BD40" s="45" t="str">
        <f>IF(tbl利用[[#This Row],[利用日]]="","",tbl利用[[#This Row],[利用分数]]/60*tbl利用[[#This Row],[基準単価]])</f>
        <v/>
      </c>
      <c r="BE40" s="45" t="str">
        <f>IF(OR(tbl利用[[#This Row],[利用日]]="",tbl利用[[#This Row],[利用区分]]=""),"",TEXT(tbl利用[[#This Row],[利用日]],"yyyymmdd")&amp;"|"&amp;tbl利用[[#This Row],[利用区分]])</f>
        <v/>
      </c>
      <c r="BF40" s="45" t="str">
        <f>IF(tbl利用[[#This Row],[日別区分キー]]="","",SUMIFS(tbl利用[明細実支出額],tbl利用[日別区分キー],tbl利用[[#This Row],[日別区分キー]]))</f>
        <v/>
      </c>
      <c r="BG40" s="45" t="str">
        <f>IF(tbl利用[[#This Row],[日別区分キー]]="","",SUMIFS(tbl利用[処理前明細基準額],tbl利用[日別区分キー],tbl利用[[#This Row],[日別区分キー]]))</f>
        <v/>
      </c>
      <c r="BH40" s="45" t="str">
        <f>IF(tbl利用[[#This Row],[日別区分キー]]="","",ROUNDDOWN(MIN(tbl利用[[#This Row],[日別区分実支出額]],tbl利用[[#This Row],[日別区分処理前基準額]]),0))</f>
        <v/>
      </c>
      <c r="BI40" s="45" t="str">
        <f>IF(tbl利用[[#This Row],[日別区分キー]]="","",MAX(0,tbl利用[[#This Row],[日別区分処理前基準額]]-tbl利用[[#This Row],[日別区分実支出額]]))</f>
        <v/>
      </c>
      <c r="BJ40" s="45">
        <f>IF(OR(tbl利用[[#This Row],[利用日]]="",tbl利用[[#This Row],[基準単価]]&lt;=0),0,MIN(tbl利用[[#This Row],[利用分数]],ROUNDDOWN(tbl利用[[#This Row],[日別区分余裕額]]/(tbl利用[[#This Row],[基準単価]]/60),0)))</f>
        <v>0</v>
      </c>
      <c r="BK40" s="50"/>
      <c r="BL40" s="45" t="str">
        <f>IF(tbl利用[[#This Row],[利用日]]="","",MAX(0,tbl利用[[#This Row],[利用分数]]-N(tbl利用[[#This Row],[切捨分数]])))</f>
        <v/>
      </c>
      <c r="BM40" s="45" t="str">
        <f>IF(tbl利用[[#This Row],[利用日]]="","",tbl利用[[#This Row],[処理後利用分数]]/60*tbl利用[[#This Row],[基準単価]])</f>
        <v/>
      </c>
      <c r="BN40" s="45" t="str">
        <f>IF(tbl利用[[#This Row],[日別区分キー]]="","",SUMIFS(tbl利用[処理後明細基準額],tbl利用[日別区分キー],tbl利用[[#This Row],[日別区分キー]]))</f>
        <v/>
      </c>
      <c r="BO40" s="45" t="str">
        <f>IF(tbl利用[[#This Row],[日別区分キー]]="","",ROUNDDOWN(MIN(tbl利用[[#This Row],[日別区分実支出額]],tbl利用[[#This Row],[日別区分処理後基準額]]),0))</f>
        <v/>
      </c>
      <c r="BP40" s="45" t="str">
        <f>IF(tbl利用[[#This Row],[日別区分キー]]="","",tbl利用[[#This Row],[日別区分処理前補助額]]-tbl利用[[#This Row],[日別区分補助額]])</f>
        <v/>
      </c>
      <c r="BQ40" s="45" t="str">
        <f>IF(OR(tbl利用[[#This Row],[日別区分キー]]="",tbl利用[[#This Row],[処理後利用分数]]&lt;=0),"",ROUNDDOWN(MIN(tbl利用[[#This Row],[日別区分実支出額]],tbl利用[[#This Row],[日別区分処理後基準額]]-tbl利用[[#This Row],[基準単価]]/60),0))</f>
        <v/>
      </c>
      <c r="BR40" s="52" t="str">
        <f>IF(tbl利用[[#This Row],[次の1分切捨時補助額]]="","",tbl利用[[#This Row],[日別区分補助額]]-tbl利用[[#This Row],[次の1分切捨時補助額]])</f>
        <v/>
      </c>
      <c r="BS40" s="45" t="str">
        <f>IF(tbl利用[[#This Row],[日別区分キー]]="","",--(COUNTIF(INDEX(tbl利用[日別区分キー],1):tbl利用[[#This Row],[日別区分キー]],tbl利用[[#This Row],[日別区分キー]])=1))</f>
        <v/>
      </c>
      <c r="BT40" s="45" t="str">
        <f>IF(tbl利用[[#This Row],[利用区分]]="","",SUMIFS(tbl利用[利用分数],tbl利用[利用区分],tbl利用[[#This Row],[利用区分]]))</f>
        <v/>
      </c>
      <c r="BU40" s="45" t="str">
        <f>IF(tbl利用[[#This Row],[利用区分]]="","",MOD(tbl利用[[#This Row],[区分総利用分数]],60))</f>
        <v/>
      </c>
      <c r="BV40" s="45" t="str">
        <f>IF(tbl利用[[#This Row],[利用区分]]="","",SUMIFS(tbl利用[切捨分数],tbl利用[利用区分],tbl利用[[#This Row],[利用区分]]))</f>
        <v/>
      </c>
      <c r="BW40" s="45" t="str">
        <f>IF(tbl利用[[#This Row],[利用区分]]="","",IF(tbl利用[[#This Row],[区分必要切捨分数]]=tbl利用[[#This Row],[区分入力切捨合計]],"OK","要確認"))</f>
        <v/>
      </c>
      <c r="BX40"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40" s="46"/>
    </row>
    <row r="41" spans="1:77" s="1" customFormat="1" ht="28.5" customHeight="1" x14ac:dyDescent="0.4">
      <c r="A41" s="19">
        <v>34</v>
      </c>
      <c r="B41" s="75"/>
      <c r="C41" s="76"/>
      <c r="D41" s="76"/>
      <c r="E41" s="76"/>
      <c r="F41" s="74"/>
      <c r="G41" s="13"/>
      <c r="H41" s="22" t="s">
        <v>8</v>
      </c>
      <c r="I41" s="14"/>
      <c r="J41" s="22" t="s">
        <v>9</v>
      </c>
      <c r="K41" s="14"/>
      <c r="L41" s="22" t="s">
        <v>8</v>
      </c>
      <c r="M41" s="14"/>
      <c r="N41" s="2" t="str">
        <f t="shared" si="2"/>
        <v/>
      </c>
      <c r="O41" s="22" t="s">
        <v>10</v>
      </c>
      <c r="P41" s="22" t="str">
        <f t="shared" si="3"/>
        <v/>
      </c>
      <c r="Q41" s="3" t="s">
        <v>11</v>
      </c>
      <c r="R41" s="79"/>
      <c r="S41" s="80"/>
      <c r="T41" s="4" t="s">
        <v>12</v>
      </c>
      <c r="U41" s="79"/>
      <c r="V41" s="80"/>
      <c r="W41" s="4" t="s">
        <v>12</v>
      </c>
      <c r="X41" s="80"/>
      <c r="Y41" s="81"/>
      <c r="Z41" s="4" t="s">
        <v>12</v>
      </c>
      <c r="AA41" s="15"/>
      <c r="AB41" s="5" t="str">
        <f t="shared" si="4"/>
        <v/>
      </c>
      <c r="AC41" s="20" t="s">
        <v>8</v>
      </c>
      <c r="AD41" s="6" t="str">
        <f t="shared" si="16"/>
        <v/>
      </c>
      <c r="AE41" s="20" t="s">
        <v>9</v>
      </c>
      <c r="AF41" s="6" t="str">
        <f t="shared" si="5"/>
        <v/>
      </c>
      <c r="AG41" s="20" t="s">
        <v>8</v>
      </c>
      <c r="AH41" s="6" t="str">
        <f t="shared" si="6"/>
        <v/>
      </c>
      <c r="AI41" s="7" t="str">
        <f t="shared" si="7"/>
        <v/>
      </c>
      <c r="AJ41" s="20" t="s">
        <v>10</v>
      </c>
      <c r="AK41" s="8" t="str">
        <f t="shared" si="8"/>
        <v/>
      </c>
      <c r="AL41" s="9" t="s">
        <v>11</v>
      </c>
      <c r="AM41" s="7" t="str">
        <f t="shared" si="9"/>
        <v/>
      </c>
      <c r="AN41" s="20" t="s">
        <v>10</v>
      </c>
      <c r="AO41" s="8" t="str">
        <f t="shared" si="10"/>
        <v/>
      </c>
      <c r="AP41" s="10" t="s">
        <v>11</v>
      </c>
      <c r="AQ41" s="15" t="str" cm="1">
        <f t="array" ref="AQ41">IF(tbl利用[[#This Row],[利用日]]="","",ROW()-ROW(tbl利用[#Headers]))</f>
        <v/>
      </c>
      <c r="AR41" s="32" t="str">
        <f t="shared" si="31"/>
        <v/>
      </c>
      <c r="AS41" s="15"/>
      <c r="AT41" s="43" t="str">
        <f t="shared" si="32"/>
        <v/>
      </c>
      <c r="AU41" s="1" t="str">
        <f t="shared" si="33"/>
        <v/>
      </c>
      <c r="AV41" s="1" t="str">
        <f t="shared" si="34"/>
        <v/>
      </c>
      <c r="AW41" s="1" t="str">
        <f>IF(tbl利用[[#This Row],[利用日]]="","",N(tbl利用[[#This Row],[利用時間_時]])*60+N(tbl利用[[#This Row],[利用時間_分]]))</f>
        <v/>
      </c>
      <c r="AX41" s="44" t="str">
        <f t="shared" si="15"/>
        <v/>
      </c>
      <c r="AY41" s="44" t="str">
        <f t="shared" si="1"/>
        <v/>
      </c>
      <c r="AZ41" s="45" t="str">
        <f>IF(tbl利用[[#This Row],[利用日]]="","",MAX(0,N(tbl利用[[#This Row],[割引前利用額]])-N(tbl利用[[#This Row],[割引額]])))</f>
        <v/>
      </c>
      <c r="BA41" s="45" t="str">
        <f>IF(OR(tbl利用[[#This Row],[利用日]]="",tbl利用[[#This Row],[利用分数]]&lt;=0),"",N(tbl利用[[#This Row],[割引前利用額]])/tbl利用[[#This Row],[利用分数]]*60)</f>
        <v/>
      </c>
      <c r="BB41" s="45" t="str">
        <f>IF(tbl利用[[#This Row],[利用区分]]="","",_xlfn.XLOOKUP(tbl利用[[#This Row],[利用区分]],$AQ$4:$AQ$5,$AR$4:$AR$5,"区分未登録"))</f>
        <v/>
      </c>
      <c r="BC41" s="45" t="str">
        <f>IF(OR(tbl利用[[#This Row],[通常時間単価]]="",NOT(ISNUMBER(tbl利用[[#This Row],[上限単価]]))),"",MIN(tbl利用[[#This Row],[通常時間単価]],tbl利用[[#This Row],[上限単価]]))</f>
        <v/>
      </c>
      <c r="BD41" s="45" t="str">
        <f>IF(tbl利用[[#This Row],[利用日]]="","",tbl利用[[#This Row],[利用分数]]/60*tbl利用[[#This Row],[基準単価]])</f>
        <v/>
      </c>
      <c r="BE41" s="45" t="str">
        <f>IF(OR(tbl利用[[#This Row],[利用日]]="",tbl利用[[#This Row],[利用区分]]=""),"",TEXT(tbl利用[[#This Row],[利用日]],"yyyymmdd")&amp;"|"&amp;tbl利用[[#This Row],[利用区分]])</f>
        <v/>
      </c>
      <c r="BF41" s="45" t="str">
        <f>IF(tbl利用[[#This Row],[日別区分キー]]="","",SUMIFS(tbl利用[明細実支出額],tbl利用[日別区分キー],tbl利用[[#This Row],[日別区分キー]]))</f>
        <v/>
      </c>
      <c r="BG41" s="45" t="str">
        <f>IF(tbl利用[[#This Row],[日別区分キー]]="","",SUMIFS(tbl利用[処理前明細基準額],tbl利用[日別区分キー],tbl利用[[#This Row],[日別区分キー]]))</f>
        <v/>
      </c>
      <c r="BH41" s="45" t="str">
        <f>IF(tbl利用[[#This Row],[日別区分キー]]="","",ROUNDDOWN(MIN(tbl利用[[#This Row],[日別区分実支出額]],tbl利用[[#This Row],[日別区分処理前基準額]]),0))</f>
        <v/>
      </c>
      <c r="BI41" s="45" t="str">
        <f>IF(tbl利用[[#This Row],[日別区分キー]]="","",MAX(0,tbl利用[[#This Row],[日別区分処理前基準額]]-tbl利用[[#This Row],[日別区分実支出額]]))</f>
        <v/>
      </c>
      <c r="BJ41" s="45">
        <f>IF(OR(tbl利用[[#This Row],[利用日]]="",tbl利用[[#This Row],[基準単価]]&lt;=0),0,MIN(tbl利用[[#This Row],[利用分数]],ROUNDDOWN(tbl利用[[#This Row],[日別区分余裕額]]/(tbl利用[[#This Row],[基準単価]]/60),0)))</f>
        <v>0</v>
      </c>
      <c r="BK41" s="50"/>
      <c r="BL41" s="45" t="str">
        <f>IF(tbl利用[[#This Row],[利用日]]="","",MAX(0,tbl利用[[#This Row],[利用分数]]-N(tbl利用[[#This Row],[切捨分数]])))</f>
        <v/>
      </c>
      <c r="BM41" s="45" t="str">
        <f>IF(tbl利用[[#This Row],[利用日]]="","",tbl利用[[#This Row],[処理後利用分数]]/60*tbl利用[[#This Row],[基準単価]])</f>
        <v/>
      </c>
      <c r="BN41" s="45" t="str">
        <f>IF(tbl利用[[#This Row],[日別区分キー]]="","",SUMIFS(tbl利用[処理後明細基準額],tbl利用[日別区分キー],tbl利用[[#This Row],[日別区分キー]]))</f>
        <v/>
      </c>
      <c r="BO41" s="45" t="str">
        <f>IF(tbl利用[[#This Row],[日別区分キー]]="","",ROUNDDOWN(MIN(tbl利用[[#This Row],[日別区分実支出額]],tbl利用[[#This Row],[日別区分処理後基準額]]),0))</f>
        <v/>
      </c>
      <c r="BP41" s="45" t="str">
        <f>IF(tbl利用[[#This Row],[日別区分キー]]="","",tbl利用[[#This Row],[日別区分処理前補助額]]-tbl利用[[#This Row],[日別区分補助額]])</f>
        <v/>
      </c>
      <c r="BQ41" s="45" t="str">
        <f>IF(OR(tbl利用[[#This Row],[日別区分キー]]="",tbl利用[[#This Row],[処理後利用分数]]&lt;=0),"",ROUNDDOWN(MIN(tbl利用[[#This Row],[日別区分実支出額]],tbl利用[[#This Row],[日別区分処理後基準額]]-tbl利用[[#This Row],[基準単価]]/60),0))</f>
        <v/>
      </c>
      <c r="BR41" s="52" t="str">
        <f>IF(tbl利用[[#This Row],[次の1分切捨時補助額]]="","",tbl利用[[#This Row],[日別区分補助額]]-tbl利用[[#This Row],[次の1分切捨時補助額]])</f>
        <v/>
      </c>
      <c r="BS41" s="45" t="str">
        <f>IF(tbl利用[[#This Row],[日別区分キー]]="","",--(COUNTIF(INDEX(tbl利用[日別区分キー],1):tbl利用[[#This Row],[日別区分キー]],tbl利用[[#This Row],[日別区分キー]])=1))</f>
        <v/>
      </c>
      <c r="BT41" s="45" t="str">
        <f>IF(tbl利用[[#This Row],[利用区分]]="","",SUMIFS(tbl利用[利用分数],tbl利用[利用区分],tbl利用[[#This Row],[利用区分]]))</f>
        <v/>
      </c>
      <c r="BU41" s="45" t="str">
        <f>IF(tbl利用[[#This Row],[利用区分]]="","",MOD(tbl利用[[#This Row],[区分総利用分数]],60))</f>
        <v/>
      </c>
      <c r="BV41" s="45" t="str">
        <f>IF(tbl利用[[#This Row],[利用区分]]="","",SUMIFS(tbl利用[切捨分数],tbl利用[利用区分],tbl利用[[#This Row],[利用区分]]))</f>
        <v/>
      </c>
      <c r="BW41" s="45" t="str">
        <f>IF(tbl利用[[#This Row],[利用区分]]="","",IF(tbl利用[[#This Row],[区分必要切捨分数]]=tbl利用[[#This Row],[区分入力切捨合計]],"OK","要確認"))</f>
        <v/>
      </c>
      <c r="BX41"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41" s="46"/>
    </row>
    <row r="42" spans="1:77" s="1" customFormat="1" ht="28.5" customHeight="1" x14ac:dyDescent="0.4">
      <c r="A42" s="19">
        <v>35</v>
      </c>
      <c r="B42" s="75"/>
      <c r="C42" s="76"/>
      <c r="D42" s="76"/>
      <c r="E42" s="76"/>
      <c r="F42" s="74"/>
      <c r="G42" s="13"/>
      <c r="H42" s="22" t="s">
        <v>8</v>
      </c>
      <c r="I42" s="14"/>
      <c r="J42" s="22" t="s">
        <v>9</v>
      </c>
      <c r="K42" s="14"/>
      <c r="L42" s="22" t="s">
        <v>8</v>
      </c>
      <c r="M42" s="14"/>
      <c r="N42" s="2" t="str">
        <f t="shared" si="2"/>
        <v/>
      </c>
      <c r="O42" s="22" t="s">
        <v>10</v>
      </c>
      <c r="P42" s="22" t="str">
        <f t="shared" si="3"/>
        <v/>
      </c>
      <c r="Q42" s="3" t="s">
        <v>11</v>
      </c>
      <c r="R42" s="79"/>
      <c r="S42" s="80"/>
      <c r="T42" s="4" t="s">
        <v>12</v>
      </c>
      <c r="U42" s="79"/>
      <c r="V42" s="80"/>
      <c r="W42" s="4" t="s">
        <v>12</v>
      </c>
      <c r="X42" s="80"/>
      <c r="Y42" s="81"/>
      <c r="Z42" s="4" t="s">
        <v>12</v>
      </c>
      <c r="AA42" s="15"/>
      <c r="AB42" s="5" t="str">
        <f t="shared" si="4"/>
        <v/>
      </c>
      <c r="AC42" s="20" t="s">
        <v>8</v>
      </c>
      <c r="AD42" s="6" t="str">
        <f t="shared" si="16"/>
        <v/>
      </c>
      <c r="AE42" s="20" t="s">
        <v>9</v>
      </c>
      <c r="AF42" s="6" t="str">
        <f t="shared" si="5"/>
        <v/>
      </c>
      <c r="AG42" s="20" t="s">
        <v>8</v>
      </c>
      <c r="AH42" s="6" t="str">
        <f t="shared" si="6"/>
        <v/>
      </c>
      <c r="AI42" s="7" t="str">
        <f t="shared" si="7"/>
        <v/>
      </c>
      <c r="AJ42" s="20" t="s">
        <v>10</v>
      </c>
      <c r="AK42" s="8" t="str">
        <f t="shared" si="8"/>
        <v/>
      </c>
      <c r="AL42" s="9" t="s">
        <v>11</v>
      </c>
      <c r="AM42" s="7" t="str">
        <f t="shared" si="9"/>
        <v/>
      </c>
      <c r="AN42" s="20" t="s">
        <v>10</v>
      </c>
      <c r="AO42" s="8" t="str">
        <f t="shared" si="10"/>
        <v/>
      </c>
      <c r="AP42" s="10" t="s">
        <v>11</v>
      </c>
      <c r="AQ42" s="15" t="str" cm="1">
        <f t="array" ref="AQ42">IF(tbl利用[[#This Row],[利用日]]="","",ROW()-ROW(tbl利用[#Headers]))</f>
        <v/>
      </c>
      <c r="AR42" s="32" t="str">
        <f t="shared" si="31"/>
        <v/>
      </c>
      <c r="AS42" s="15"/>
      <c r="AT42" s="43" t="str">
        <f t="shared" si="32"/>
        <v/>
      </c>
      <c r="AU42" s="1" t="str">
        <f t="shared" si="33"/>
        <v/>
      </c>
      <c r="AV42" s="1" t="str">
        <f t="shared" si="34"/>
        <v/>
      </c>
      <c r="AW42" s="1" t="str">
        <f>IF(tbl利用[[#This Row],[利用日]]="","",N(tbl利用[[#This Row],[利用時間_時]])*60+N(tbl利用[[#This Row],[利用時間_分]]))</f>
        <v/>
      </c>
      <c r="AX42" s="44" t="str">
        <f t="shared" si="15"/>
        <v/>
      </c>
      <c r="AY42" s="44" t="str">
        <f t="shared" si="1"/>
        <v/>
      </c>
      <c r="AZ42" s="45" t="str">
        <f>IF(tbl利用[[#This Row],[利用日]]="","",MAX(0,N(tbl利用[[#This Row],[割引前利用額]])-N(tbl利用[[#This Row],[割引額]])))</f>
        <v/>
      </c>
      <c r="BA42" s="45" t="str">
        <f>IF(OR(tbl利用[[#This Row],[利用日]]="",tbl利用[[#This Row],[利用分数]]&lt;=0),"",N(tbl利用[[#This Row],[割引前利用額]])/tbl利用[[#This Row],[利用分数]]*60)</f>
        <v/>
      </c>
      <c r="BB42" s="45" t="str">
        <f>IF(tbl利用[[#This Row],[利用区分]]="","",_xlfn.XLOOKUP(tbl利用[[#This Row],[利用区分]],$AQ$4:$AQ$5,$AR$4:$AR$5,"区分未登録"))</f>
        <v/>
      </c>
      <c r="BC42" s="45" t="str">
        <f>IF(OR(tbl利用[[#This Row],[通常時間単価]]="",NOT(ISNUMBER(tbl利用[[#This Row],[上限単価]]))),"",MIN(tbl利用[[#This Row],[通常時間単価]],tbl利用[[#This Row],[上限単価]]))</f>
        <v/>
      </c>
      <c r="BD42" s="45" t="str">
        <f>IF(tbl利用[[#This Row],[利用日]]="","",tbl利用[[#This Row],[利用分数]]/60*tbl利用[[#This Row],[基準単価]])</f>
        <v/>
      </c>
      <c r="BE42" s="45" t="str">
        <f>IF(OR(tbl利用[[#This Row],[利用日]]="",tbl利用[[#This Row],[利用区分]]=""),"",TEXT(tbl利用[[#This Row],[利用日]],"yyyymmdd")&amp;"|"&amp;tbl利用[[#This Row],[利用区分]])</f>
        <v/>
      </c>
      <c r="BF42" s="45" t="str">
        <f>IF(tbl利用[[#This Row],[日別区分キー]]="","",SUMIFS(tbl利用[明細実支出額],tbl利用[日別区分キー],tbl利用[[#This Row],[日別区分キー]]))</f>
        <v/>
      </c>
      <c r="BG42" s="45" t="str">
        <f>IF(tbl利用[[#This Row],[日別区分キー]]="","",SUMIFS(tbl利用[処理前明細基準額],tbl利用[日別区分キー],tbl利用[[#This Row],[日別区分キー]]))</f>
        <v/>
      </c>
      <c r="BH42" s="45" t="str">
        <f>IF(tbl利用[[#This Row],[日別区分キー]]="","",ROUNDDOWN(MIN(tbl利用[[#This Row],[日別区分実支出額]],tbl利用[[#This Row],[日別区分処理前基準額]]),0))</f>
        <v/>
      </c>
      <c r="BI42" s="45" t="str">
        <f>IF(tbl利用[[#This Row],[日別区分キー]]="","",MAX(0,tbl利用[[#This Row],[日別区分処理前基準額]]-tbl利用[[#This Row],[日別区分実支出額]]))</f>
        <v/>
      </c>
      <c r="BJ42" s="45">
        <f>IF(OR(tbl利用[[#This Row],[利用日]]="",tbl利用[[#This Row],[基準単価]]&lt;=0),0,MIN(tbl利用[[#This Row],[利用分数]],ROUNDDOWN(tbl利用[[#This Row],[日別区分余裕額]]/(tbl利用[[#This Row],[基準単価]]/60),0)))</f>
        <v>0</v>
      </c>
      <c r="BK42" s="50"/>
      <c r="BL42" s="45" t="str">
        <f>IF(tbl利用[[#This Row],[利用日]]="","",MAX(0,tbl利用[[#This Row],[利用分数]]-N(tbl利用[[#This Row],[切捨分数]])))</f>
        <v/>
      </c>
      <c r="BM42" s="45" t="str">
        <f>IF(tbl利用[[#This Row],[利用日]]="","",tbl利用[[#This Row],[処理後利用分数]]/60*tbl利用[[#This Row],[基準単価]])</f>
        <v/>
      </c>
      <c r="BN42" s="45" t="str">
        <f>IF(tbl利用[[#This Row],[日別区分キー]]="","",SUMIFS(tbl利用[処理後明細基準額],tbl利用[日別区分キー],tbl利用[[#This Row],[日別区分キー]]))</f>
        <v/>
      </c>
      <c r="BO42" s="45" t="str">
        <f>IF(tbl利用[[#This Row],[日別区分キー]]="","",ROUNDDOWN(MIN(tbl利用[[#This Row],[日別区分実支出額]],tbl利用[[#This Row],[日別区分処理後基準額]]),0))</f>
        <v/>
      </c>
      <c r="BP42" s="45" t="str">
        <f>IF(tbl利用[[#This Row],[日別区分キー]]="","",tbl利用[[#This Row],[日別区分処理前補助額]]-tbl利用[[#This Row],[日別区分補助額]])</f>
        <v/>
      </c>
      <c r="BQ42" s="45" t="str">
        <f>IF(OR(tbl利用[[#This Row],[日別区分キー]]="",tbl利用[[#This Row],[処理後利用分数]]&lt;=0),"",ROUNDDOWN(MIN(tbl利用[[#This Row],[日別区分実支出額]],tbl利用[[#This Row],[日別区分処理後基準額]]-tbl利用[[#This Row],[基準単価]]/60),0))</f>
        <v/>
      </c>
      <c r="BR42" s="52" t="str">
        <f>IF(tbl利用[[#This Row],[次の1分切捨時補助額]]="","",tbl利用[[#This Row],[日別区分補助額]]-tbl利用[[#This Row],[次の1分切捨時補助額]])</f>
        <v/>
      </c>
      <c r="BS42" s="45" t="str">
        <f>IF(tbl利用[[#This Row],[日別区分キー]]="","",--(COUNTIF(INDEX(tbl利用[日別区分キー],1):tbl利用[[#This Row],[日別区分キー]],tbl利用[[#This Row],[日別区分キー]])=1))</f>
        <v/>
      </c>
      <c r="BT42" s="45" t="str">
        <f>IF(tbl利用[[#This Row],[利用区分]]="","",SUMIFS(tbl利用[利用分数],tbl利用[利用区分],tbl利用[[#This Row],[利用区分]]))</f>
        <v/>
      </c>
      <c r="BU42" s="45" t="str">
        <f>IF(tbl利用[[#This Row],[利用区分]]="","",MOD(tbl利用[[#This Row],[区分総利用分数]],60))</f>
        <v/>
      </c>
      <c r="BV42" s="45" t="str">
        <f>IF(tbl利用[[#This Row],[利用区分]]="","",SUMIFS(tbl利用[切捨分数],tbl利用[利用区分],tbl利用[[#This Row],[利用区分]]))</f>
        <v/>
      </c>
      <c r="BW42" s="45" t="str">
        <f>IF(tbl利用[[#This Row],[利用区分]]="","",IF(tbl利用[[#This Row],[区分必要切捨分数]]=tbl利用[[#This Row],[区分入力切捨合計]],"OK","要確認"))</f>
        <v/>
      </c>
      <c r="BX42" s="66" t="str">
        <f>_xlfn.TEXTJOIN("／",TRUE,IF(tbl利用[[#This Row],[利用日]]="","利用日なし",""),IF(tbl利用[[#This Row],[利用区分]]="","利用区分なし",""),IF(AND(tbl利用[[#This Row],[利用区分]]&lt;&gt;"",COUNTIF($AQ$4:$AQ$5,tbl利用[[#This Row],[利用区分]])=0),"利用区分未登録",""),IF(N(tbl利用[[#This Row],[利用分数]])&lt;=0,"利用時間要確認",""),IF(OR(N(tbl利用[[#This Row],[利用時間_分]])&lt;0,N(tbl利用[[#This Row],[利用時間_分]])&gt;=60),"分は0～59",""),IF(N(tbl利用[[#This Row],[割引前利用額]])&lt;0,"利用額が負数",""),IF(N(tbl利用[[#This Row],[割引額]])&lt;0,"割引額が負数",""),IF(N(tbl利用[[#This Row],[割引額]])&gt;N(tbl利用[[#This Row],[割引前利用額]]),"割引額超過",""),IF(N(tbl利用[[#This Row],[切捨分数]])&lt;0,"切捨分数が負数",""),IF(N(tbl利用[[#This Row],[切捨分数]])&gt;N(tbl利用[[#This Row],[利用分数]]),"切捨分数超過",""),IF(tbl利用[[#This Row],[区分端数処理判定]]&lt;&gt;"OK","区分切捨合計不一致",""))</f>
        <v>利用日なし／利用区分なし／利用時間要確認／区分切捨合計不一致</v>
      </c>
      <c r="BY42" s="46"/>
    </row>
    <row r="43" spans="1:77" s="1" customFormat="1" ht="16.5" customHeight="1" x14ac:dyDescent="0.4">
      <c r="B43" s="39"/>
      <c r="C43" s="39"/>
      <c r="D43" s="39"/>
      <c r="E43" s="39"/>
      <c r="F43" s="39"/>
      <c r="G43" s="39"/>
      <c r="H43" s="39"/>
      <c r="I43" s="40"/>
      <c r="J43" s="39"/>
      <c r="K43" s="39"/>
      <c r="L43" s="39"/>
      <c r="M43" s="39"/>
      <c r="N43" s="39"/>
      <c r="O43" s="39"/>
      <c r="P43" s="39"/>
      <c r="Q43" s="39"/>
      <c r="R43" s="39"/>
      <c r="S43" s="39"/>
      <c r="T43" s="39"/>
      <c r="U43" s="39"/>
      <c r="V43" s="39"/>
      <c r="W43" s="39"/>
      <c r="X43" s="39"/>
      <c r="Y43" s="39"/>
      <c r="Z43" s="39"/>
      <c r="AA43" s="15"/>
      <c r="AB43" s="15"/>
      <c r="AC43" s="15"/>
      <c r="AD43" s="15"/>
      <c r="AE43" s="15"/>
      <c r="AF43" s="15"/>
      <c r="AG43" s="15"/>
      <c r="AH43" s="15"/>
      <c r="AI43" s="15"/>
      <c r="AJ43" s="15"/>
      <c r="AK43" s="15"/>
      <c r="AL43" s="15"/>
      <c r="AM43" s="15"/>
      <c r="AN43" s="15"/>
      <c r="AO43" s="15"/>
      <c r="AQ43" s="15"/>
      <c r="AR43" s="15"/>
      <c r="AS43" s="15"/>
      <c r="BX43" s="42"/>
    </row>
    <row r="44" spans="1:77" s="1" customFormat="1" ht="18" customHeight="1" x14ac:dyDescent="0.4">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5"/>
      <c r="AB44" s="11">
        <f>SUM(P8:P42)/24/60</f>
        <v>0</v>
      </c>
      <c r="AC44" s="41">
        <f>HOUR(AB44)</f>
        <v>0</v>
      </c>
      <c r="AD44" s="41">
        <f>MINUTE(AB44)</f>
        <v>0</v>
      </c>
      <c r="AE44" s="11">
        <f>SUM(AK8:AK42)/24/60</f>
        <v>0</v>
      </c>
      <c r="AF44" s="41">
        <f>HOUR(AE44)</f>
        <v>0</v>
      </c>
      <c r="AG44" s="41">
        <f>MINUTE(AE44)</f>
        <v>0</v>
      </c>
      <c r="AH44" s="15"/>
      <c r="AI44" s="7">
        <f>SUM(AI8:AI42)+AF44</f>
        <v>0</v>
      </c>
      <c r="AJ44" s="20" t="s">
        <v>10</v>
      </c>
      <c r="AK44" s="8">
        <f>AG44</f>
        <v>0</v>
      </c>
      <c r="AL44" s="9" t="s">
        <v>11</v>
      </c>
      <c r="AM44" s="7">
        <f>IF(AI44="",N47,IFERROR(IF(P47-AK44&lt;0,N47-AI44-1,N47-AI44),""))</f>
        <v>0</v>
      </c>
      <c r="AN44" s="20" t="s">
        <v>10</v>
      </c>
      <c r="AO44" s="8">
        <f>IF(AK44="",P47,IFERROR(IF(P47-AK44&lt;0,P47-AK44+60,P47-AK44),""))</f>
        <v>0</v>
      </c>
      <c r="AP44" s="10" t="s">
        <v>11</v>
      </c>
      <c r="AQ44" s="15"/>
      <c r="AR44" s="21" t="s">
        <v>13</v>
      </c>
      <c r="AS44" s="21" t="s">
        <v>14</v>
      </c>
      <c r="AT44" s="19" t="s">
        <v>15</v>
      </c>
      <c r="AU44" s="19" t="s">
        <v>16</v>
      </c>
      <c r="AV44" s="19" t="s">
        <v>17</v>
      </c>
      <c r="BX44" s="42"/>
    </row>
    <row r="45" spans="1:77" s="1" customFormat="1" x14ac:dyDescent="0.4">
      <c r="B45" s="110"/>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5"/>
      <c r="AB45" s="15"/>
      <c r="AC45" s="15"/>
      <c r="AD45" s="15"/>
      <c r="AE45" s="15"/>
      <c r="AF45" s="15"/>
      <c r="AG45" s="15"/>
      <c r="AH45" s="15"/>
      <c r="AI45" s="15"/>
      <c r="AJ45" s="15"/>
      <c r="AK45" s="15"/>
      <c r="AL45" s="15"/>
      <c r="AM45" s="15"/>
      <c r="AN45" s="15"/>
      <c r="AO45" s="15"/>
      <c r="AQ45" s="15"/>
      <c r="AR45" s="27">
        <f>K48</f>
        <v>0</v>
      </c>
      <c r="AS45" s="27">
        <f>V48</f>
        <v>0</v>
      </c>
      <c r="AT45" s="28">
        <f>I49</f>
        <v>0</v>
      </c>
      <c r="AU45" s="28" t="str">
        <f>W49</f>
        <v/>
      </c>
      <c r="AV45" s="28" t="str">
        <f>W49</f>
        <v/>
      </c>
      <c r="BX45" s="42"/>
    </row>
    <row r="46" spans="1:77" s="1" customFormat="1" ht="24.95" customHeight="1" x14ac:dyDescent="0.4">
      <c r="B46" s="111" t="s">
        <v>31</v>
      </c>
      <c r="C46" s="112"/>
      <c r="D46" s="113"/>
      <c r="E46" s="93" t="s">
        <v>18</v>
      </c>
      <c r="F46" s="94"/>
      <c r="G46" s="94"/>
      <c r="H46" s="94"/>
      <c r="I46" s="94"/>
      <c r="J46" s="94"/>
      <c r="K46" s="94"/>
      <c r="L46" s="94"/>
      <c r="M46" s="95"/>
      <c r="N46" s="99" t="s">
        <v>1</v>
      </c>
      <c r="O46" s="100"/>
      <c r="P46" s="100"/>
      <c r="Q46" s="100"/>
      <c r="R46" s="101" t="s">
        <v>2</v>
      </c>
      <c r="S46" s="101"/>
      <c r="T46" s="101"/>
      <c r="U46" s="102" t="s">
        <v>3</v>
      </c>
      <c r="V46" s="103"/>
      <c r="W46" s="103"/>
      <c r="X46" s="102" t="s">
        <v>4</v>
      </c>
      <c r="Y46" s="103"/>
      <c r="Z46" s="103"/>
      <c r="AA46" s="15"/>
      <c r="AB46" s="15"/>
      <c r="AC46" s="15"/>
      <c r="AD46" s="15"/>
      <c r="AE46" s="15"/>
      <c r="AF46" s="15"/>
      <c r="AG46" s="15"/>
      <c r="AH46" s="15"/>
      <c r="AI46" s="15"/>
      <c r="AJ46" s="15"/>
      <c r="AK46" s="82" t="s">
        <v>19</v>
      </c>
      <c r="AL46" s="83"/>
      <c r="AM46" s="21">
        <f>AM44</f>
        <v>0</v>
      </c>
      <c r="AN46" s="15"/>
      <c r="AO46" s="15"/>
      <c r="AQ46" s="15"/>
      <c r="AR46" s="29"/>
      <c r="AS46" s="29"/>
      <c r="AT46" s="30"/>
      <c r="AU46" s="30"/>
      <c r="AV46" s="30"/>
      <c r="BX46" s="42"/>
    </row>
    <row r="47" spans="1:77" s="1" customFormat="1" ht="24.95" customHeight="1" x14ac:dyDescent="0.4">
      <c r="B47" s="114"/>
      <c r="C47" s="115"/>
      <c r="D47" s="116"/>
      <c r="E47" s="96"/>
      <c r="F47" s="97"/>
      <c r="G47" s="97"/>
      <c r="H47" s="97"/>
      <c r="I47" s="97"/>
      <c r="J47" s="97"/>
      <c r="K47" s="97"/>
      <c r="L47" s="97"/>
      <c r="M47" s="98"/>
      <c r="N47" s="16">
        <f>IFERROR(SUM(N8:N42)+AC44,"")</f>
        <v>0</v>
      </c>
      <c r="O47" s="17" t="s">
        <v>10</v>
      </c>
      <c r="P47" s="17">
        <f>IFERROR(AD44,"")</f>
        <v>0</v>
      </c>
      <c r="Q47" s="18" t="s">
        <v>11</v>
      </c>
      <c r="R47" s="84">
        <f>IFERROR(SUM(R8:S42),"")</f>
        <v>0</v>
      </c>
      <c r="S47" s="85"/>
      <c r="T47" s="18" t="s">
        <v>12</v>
      </c>
      <c r="U47" s="84">
        <f>IFERROR(SUM(U8:V42),"")</f>
        <v>0</v>
      </c>
      <c r="V47" s="86"/>
      <c r="W47" s="24" t="s">
        <v>12</v>
      </c>
      <c r="X47" s="87">
        <f>IFERROR(SUM(X8:Y42),"")</f>
        <v>0</v>
      </c>
      <c r="Y47" s="86"/>
      <c r="Z47" s="24" t="s">
        <v>12</v>
      </c>
      <c r="AB47" s="15"/>
      <c r="AD47" s="15"/>
      <c r="AF47" s="15"/>
      <c r="AH47" s="15"/>
      <c r="AI47" s="12"/>
      <c r="AK47" s="12"/>
      <c r="AM47" s="15"/>
      <c r="AO47" s="12"/>
      <c r="AQ47" s="15"/>
      <c r="AR47" s="15"/>
      <c r="AS47" s="15"/>
      <c r="BX47" s="42"/>
    </row>
    <row r="48" spans="1:77" s="1" customFormat="1" ht="24.95" customHeight="1" x14ac:dyDescent="0.4">
      <c r="B48" s="114"/>
      <c r="C48" s="115"/>
      <c r="D48" s="116"/>
      <c r="E48" s="88" t="s">
        <v>27</v>
      </c>
      <c r="F48" s="88"/>
      <c r="G48" s="88"/>
      <c r="H48" s="88"/>
      <c r="I48" s="88"/>
      <c r="J48" s="88"/>
      <c r="K48" s="89">
        <f>N47</f>
        <v>0</v>
      </c>
      <c r="L48" s="90"/>
      <c r="M48" s="90"/>
      <c r="N48" s="90" t="s">
        <v>20</v>
      </c>
      <c r="O48" s="91"/>
      <c r="P48" s="92" t="s">
        <v>21</v>
      </c>
      <c r="Q48" s="92"/>
      <c r="R48" s="92"/>
      <c r="S48" s="92"/>
      <c r="T48" s="92"/>
      <c r="U48" s="89"/>
      <c r="V48" s="89">
        <f>AM44</f>
        <v>0</v>
      </c>
      <c r="W48" s="90"/>
      <c r="X48" s="90"/>
      <c r="Y48" s="91" t="s">
        <v>20</v>
      </c>
      <c r="Z48" s="92"/>
      <c r="AA48" s="42"/>
      <c r="AB48" s="15"/>
      <c r="AC48" s="42"/>
      <c r="AD48" s="15"/>
      <c r="AE48" s="42"/>
      <c r="AF48" s="15"/>
      <c r="AG48" s="42"/>
      <c r="AH48" s="15"/>
      <c r="AI48" s="15"/>
      <c r="AJ48" s="42"/>
      <c r="AK48" s="15"/>
      <c r="AL48" s="42"/>
      <c r="AM48" s="15"/>
      <c r="AN48" s="42"/>
      <c r="AO48" s="15"/>
      <c r="AQ48" s="15"/>
      <c r="AR48" s="15"/>
      <c r="AS48" s="15"/>
      <c r="BX48" s="42"/>
    </row>
    <row r="49" spans="2:76" s="1" customFormat="1" ht="24.95" customHeight="1" x14ac:dyDescent="0.4">
      <c r="B49" s="117"/>
      <c r="C49" s="118"/>
      <c r="D49" s="119"/>
      <c r="E49" s="92" t="s">
        <v>92</v>
      </c>
      <c r="F49" s="92"/>
      <c r="G49" s="92"/>
      <c r="H49" s="92"/>
      <c r="I49" s="104">
        <f>IFERROR(MIN(R47-X47,(AI44*2500)+(AM44*3500)),"")</f>
        <v>0</v>
      </c>
      <c r="J49" s="105"/>
      <c r="K49" s="105"/>
      <c r="L49" s="105"/>
      <c r="M49" s="92" t="s">
        <v>22</v>
      </c>
      <c r="N49" s="92"/>
      <c r="O49" s="92"/>
      <c r="P49" s="106"/>
      <c r="Q49" s="106"/>
      <c r="R49" s="106"/>
      <c r="S49" s="106"/>
      <c r="T49" s="107" t="str">
        <f>IF(BI5="OK","","利用区分１未確認")</f>
        <v/>
      </c>
      <c r="U49" s="107"/>
      <c r="V49" s="107"/>
      <c r="W49" s="108" t="str">
        <f>IF(BK5="OK","","利用区分２未確認")</f>
        <v/>
      </c>
      <c r="X49" s="108"/>
      <c r="Y49" s="108"/>
      <c r="Z49" s="108"/>
      <c r="AA49" s="42"/>
      <c r="AB49" s="42">
        <f>MIN(R47-X47,(AI44*2500)+(AM44*3500))</f>
        <v>0</v>
      </c>
      <c r="AC49" s="42"/>
      <c r="AD49" s="42"/>
      <c r="AE49" s="42"/>
      <c r="AF49" s="42"/>
      <c r="AG49" s="42"/>
      <c r="AH49" s="42"/>
      <c r="AI49" s="42"/>
      <c r="AJ49" s="42"/>
      <c r="AK49" s="42"/>
      <c r="AL49" s="42"/>
      <c r="AM49" s="42"/>
      <c r="AN49" s="42"/>
      <c r="AO49" s="42"/>
      <c r="AQ49" s="15"/>
      <c r="AR49" s="15"/>
      <c r="AS49" s="15"/>
      <c r="BX49" s="42"/>
    </row>
    <row r="50" spans="2:76" x14ac:dyDescent="0.4">
      <c r="B50" s="39" t="s">
        <v>33</v>
      </c>
    </row>
    <row r="51" spans="2:76" x14ac:dyDescent="0.4">
      <c r="B51" s="39" t="s">
        <v>29</v>
      </c>
    </row>
    <row r="52" spans="2:76" x14ac:dyDescent="0.4">
      <c r="B52" s="39" t="s">
        <v>30</v>
      </c>
    </row>
    <row r="53" spans="2:76" x14ac:dyDescent="0.4">
      <c r="B53" s="39" t="s">
        <v>28</v>
      </c>
    </row>
  </sheetData>
  <sheetProtection sheet="1" objects="1" scenarios="1"/>
  <mergeCells count="179">
    <mergeCell ref="U7:W7"/>
    <mergeCell ref="X7:Z7"/>
    <mergeCell ref="AB7:AH7"/>
    <mergeCell ref="AI7:AL7"/>
    <mergeCell ref="AM7:AP7"/>
    <mergeCell ref="R8:S8"/>
    <mergeCell ref="U8:V8"/>
    <mergeCell ref="X8:Y8"/>
    <mergeCell ref="B3:E3"/>
    <mergeCell ref="B7:E7"/>
    <mergeCell ref="G7:M7"/>
    <mergeCell ref="N7:Q7"/>
    <mergeCell ref="R7:T7"/>
    <mergeCell ref="G3:Q3"/>
    <mergeCell ref="R3:T3"/>
    <mergeCell ref="U3:W3"/>
    <mergeCell ref="B8:E8"/>
    <mergeCell ref="R11:S11"/>
    <mergeCell ref="U11:V11"/>
    <mergeCell ref="X11:Y11"/>
    <mergeCell ref="R12:S12"/>
    <mergeCell ref="U12:V12"/>
    <mergeCell ref="X12:Y12"/>
    <mergeCell ref="R9:S9"/>
    <mergeCell ref="U9:V9"/>
    <mergeCell ref="X9:Y9"/>
    <mergeCell ref="R10:S10"/>
    <mergeCell ref="U10:V10"/>
    <mergeCell ref="X10:Y10"/>
    <mergeCell ref="R15:S15"/>
    <mergeCell ref="U15:V15"/>
    <mergeCell ref="X15:Y15"/>
    <mergeCell ref="R16:S16"/>
    <mergeCell ref="U16:V16"/>
    <mergeCell ref="X16:Y16"/>
    <mergeCell ref="R13:S13"/>
    <mergeCell ref="U13:V13"/>
    <mergeCell ref="X13:Y13"/>
    <mergeCell ref="R14:S14"/>
    <mergeCell ref="U14:V14"/>
    <mergeCell ref="X14:Y14"/>
    <mergeCell ref="R19:S19"/>
    <mergeCell ref="U19:V19"/>
    <mergeCell ref="X19:Y19"/>
    <mergeCell ref="R20:S20"/>
    <mergeCell ref="U20:V20"/>
    <mergeCell ref="X20:Y20"/>
    <mergeCell ref="R17:S17"/>
    <mergeCell ref="U17:V17"/>
    <mergeCell ref="X17:Y17"/>
    <mergeCell ref="R18:S18"/>
    <mergeCell ref="U18:V18"/>
    <mergeCell ref="X18:Y18"/>
    <mergeCell ref="R23:S23"/>
    <mergeCell ref="U23:V23"/>
    <mergeCell ref="X23:Y23"/>
    <mergeCell ref="R28:S28"/>
    <mergeCell ref="U28:V28"/>
    <mergeCell ref="X28:Y28"/>
    <mergeCell ref="R21:S21"/>
    <mergeCell ref="U21:V21"/>
    <mergeCell ref="X21:Y21"/>
    <mergeCell ref="R22:S22"/>
    <mergeCell ref="U22:V22"/>
    <mergeCell ref="X22:Y22"/>
    <mergeCell ref="R27:S27"/>
    <mergeCell ref="U27:V27"/>
    <mergeCell ref="X27:Y27"/>
    <mergeCell ref="R25:S25"/>
    <mergeCell ref="U25:V25"/>
    <mergeCell ref="X25:Y25"/>
    <mergeCell ref="R26:S26"/>
    <mergeCell ref="U26:V26"/>
    <mergeCell ref="X26:Y26"/>
    <mergeCell ref="R31:S31"/>
    <mergeCell ref="U31:V31"/>
    <mergeCell ref="X31:Y31"/>
    <mergeCell ref="R32:S32"/>
    <mergeCell ref="U32:V32"/>
    <mergeCell ref="X32:Y32"/>
    <mergeCell ref="R29:S29"/>
    <mergeCell ref="U29:V29"/>
    <mergeCell ref="X29:Y29"/>
    <mergeCell ref="R30:S30"/>
    <mergeCell ref="U30:V30"/>
    <mergeCell ref="X30:Y30"/>
    <mergeCell ref="R35:S35"/>
    <mergeCell ref="U35:V35"/>
    <mergeCell ref="X35:Y35"/>
    <mergeCell ref="R36:S36"/>
    <mergeCell ref="U36:V36"/>
    <mergeCell ref="X36:Y36"/>
    <mergeCell ref="R33:S33"/>
    <mergeCell ref="U33:V33"/>
    <mergeCell ref="X33:Y33"/>
    <mergeCell ref="R34:S34"/>
    <mergeCell ref="U34:V34"/>
    <mergeCell ref="X34:Y34"/>
    <mergeCell ref="R39:S39"/>
    <mergeCell ref="U39:V39"/>
    <mergeCell ref="X39:Y39"/>
    <mergeCell ref="R40:S40"/>
    <mergeCell ref="U40:V40"/>
    <mergeCell ref="X40:Y40"/>
    <mergeCell ref="R37:S37"/>
    <mergeCell ref="U37:V37"/>
    <mergeCell ref="X37:Y37"/>
    <mergeCell ref="R38:S38"/>
    <mergeCell ref="U38:V38"/>
    <mergeCell ref="X38:Y38"/>
    <mergeCell ref="E49:H49"/>
    <mergeCell ref="I49:L49"/>
    <mergeCell ref="M49:O49"/>
    <mergeCell ref="R41:S41"/>
    <mergeCell ref="U41:V41"/>
    <mergeCell ref="X41:Y41"/>
    <mergeCell ref="R42:S42"/>
    <mergeCell ref="U42:V42"/>
    <mergeCell ref="X42:Y42"/>
    <mergeCell ref="P49:S49"/>
    <mergeCell ref="T49:V49"/>
    <mergeCell ref="W49:Z49"/>
    <mergeCell ref="B44:Z45"/>
    <mergeCell ref="B46:D49"/>
    <mergeCell ref="AK46:AL46"/>
    <mergeCell ref="R47:S47"/>
    <mergeCell ref="U47:V47"/>
    <mergeCell ref="X47:Y47"/>
    <mergeCell ref="E48:J48"/>
    <mergeCell ref="K48:M48"/>
    <mergeCell ref="N48:O48"/>
    <mergeCell ref="P48:U48"/>
    <mergeCell ref="V48:X48"/>
    <mergeCell ref="Y48:Z48"/>
    <mergeCell ref="E46:M47"/>
    <mergeCell ref="N46:Q46"/>
    <mergeCell ref="R46:T46"/>
    <mergeCell ref="U46:W46"/>
    <mergeCell ref="X46:Z46"/>
    <mergeCell ref="B23:E23"/>
    <mergeCell ref="B28:E28"/>
    <mergeCell ref="B29:E29"/>
    <mergeCell ref="B30:E30"/>
    <mergeCell ref="B9:E9"/>
    <mergeCell ref="B10:E10"/>
    <mergeCell ref="B11:E11"/>
    <mergeCell ref="B12:E12"/>
    <mergeCell ref="B13:E13"/>
    <mergeCell ref="B14:E14"/>
    <mergeCell ref="B15:E15"/>
    <mergeCell ref="B16:E16"/>
    <mergeCell ref="B17:E17"/>
    <mergeCell ref="B27:E27"/>
    <mergeCell ref="B25:E25"/>
    <mergeCell ref="B26:E26"/>
    <mergeCell ref="B40:E40"/>
    <mergeCell ref="B41:E41"/>
    <mergeCell ref="B42:E42"/>
    <mergeCell ref="B4:Z4"/>
    <mergeCell ref="B5:Z5"/>
    <mergeCell ref="B6:Z6"/>
    <mergeCell ref="B31:E31"/>
    <mergeCell ref="B32:E32"/>
    <mergeCell ref="B33:E33"/>
    <mergeCell ref="B34:E34"/>
    <mergeCell ref="B35:E35"/>
    <mergeCell ref="B36:E36"/>
    <mergeCell ref="B37:E37"/>
    <mergeCell ref="B38:E38"/>
    <mergeCell ref="B39:E39"/>
    <mergeCell ref="B18:E18"/>
    <mergeCell ref="B19:E19"/>
    <mergeCell ref="B20:E20"/>
    <mergeCell ref="B21:E21"/>
    <mergeCell ref="B22:E22"/>
    <mergeCell ref="B24:E24"/>
    <mergeCell ref="R24:S24"/>
    <mergeCell ref="U24:V24"/>
    <mergeCell ref="X24:Y24"/>
  </mergeCells>
  <phoneticPr fontId="3"/>
  <dataValidations count="7">
    <dataValidation type="list" allowBlank="1" showInputMessage="1" showErrorMessage="1" sqref="B43" xr:uid="{056B2E2A-0DF7-4631-9CAA-08E012ED10FA}">
      <formula1>"4,5,6,7,8,9,10,11,12,1,2,3"</formula1>
    </dataValidation>
    <dataValidation allowBlank="1" showInputMessage="1" sqref="B44" xr:uid="{FE024BB7-17BB-405F-A043-9CCF451B01CA}"/>
    <dataValidation type="list" allowBlank="1" showInputMessage="1" showErrorMessage="1" sqref="M8:M42 I8:I42" xr:uid="{38D831C6-1B6F-4953-8B57-F4255204AD99}">
      <formula1>"00,05,10,15,20,25,30,35,40,45,50,55"</formula1>
    </dataValidation>
    <dataValidation type="list" allowBlank="1" showInputMessage="1" showErrorMessage="1" sqref="K43 I43 D43 G43" xr:uid="{39CF90BE-DAC4-4B46-8F5D-FEC63DD9DA8E}">
      <formula1>#REF!</formula1>
    </dataValidation>
    <dataValidation type="list" allowBlank="1" showInputMessage="1" showErrorMessage="1" sqref="K8:K42 G8:G42" xr:uid="{2A2C263E-2424-43A9-9C95-4967F3A9A53F}">
      <formula1>"0,1,2,3,4,5,6,7,8,9,10,11,12,13,14,15,16,17,18,19,20,21,22,23,24"</formula1>
    </dataValidation>
    <dataValidation type="list" allowBlank="1" showInputMessage="1" showErrorMessage="1" sqref="U3:W3" xr:uid="{F655E550-F3E8-4990-BE95-17FBB3D27BB1}">
      <formula1>"４～６月,７～９月,10月～12月,１月～３月"</formula1>
    </dataValidation>
    <dataValidation type="list" allowBlank="1" showInputMessage="1" showErrorMessage="1" sqref="F8:F42" xr:uid="{2F2A25CD-493D-41F0-906A-FECEB434C158}">
      <formula1>$AQ$4:$AQ$5</formula1>
    </dataValidation>
  </dataValidations>
  <pageMargins left="0.51181102362204722" right="0.51181102362204722" top="0.35433070866141736" bottom="0.35433070866141736" header="0.31496062992125984" footer="0.31496062992125984"/>
  <pageSetup paperSize="9" scale="58"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64402-A231-45A7-9415-9E4B31091E87}">
  <sheetPr>
    <pageSetUpPr fitToPage="1"/>
  </sheetPr>
  <dimension ref="A1:BZ53"/>
  <sheetViews>
    <sheetView view="pageBreakPreview" zoomScale="70" zoomScaleNormal="100" zoomScaleSheetLayoutView="70" workbookViewId="0">
      <selection activeCell="G3" sqref="G3:Q3"/>
    </sheetView>
  </sheetViews>
  <sheetFormatPr defaultColWidth="9" defaultRowHeight="13.5" x14ac:dyDescent="0.4"/>
  <cols>
    <col min="1" max="1" width="5.5" style="39" bestFit="1" customWidth="1"/>
    <col min="2" max="5" width="4.375" style="39" customWidth="1"/>
    <col min="6" max="6" width="7.625" style="39" customWidth="1"/>
    <col min="7" max="7" width="5.25" style="39" customWidth="1"/>
    <col min="8" max="8" width="4.375" style="39" customWidth="1"/>
    <col min="9" max="9" width="5.25" style="40" customWidth="1"/>
    <col min="10" max="10" width="4.375" style="39" customWidth="1"/>
    <col min="11" max="11" width="5.25" style="39" customWidth="1"/>
    <col min="12" max="12" width="4.375" style="39" customWidth="1"/>
    <col min="13" max="13" width="5.25" style="39" customWidth="1"/>
    <col min="14" max="17" width="6.875" style="39" customWidth="1"/>
    <col min="18" max="19" width="7.625" style="39" customWidth="1"/>
    <col min="20" max="20" width="4.375" style="39" customWidth="1"/>
    <col min="21" max="22" width="6" style="39" customWidth="1"/>
    <col min="23" max="23" width="4.375" style="39" customWidth="1"/>
    <col min="24" max="25" width="6" style="39" customWidth="1"/>
    <col min="26" max="26" width="4.375" style="39" customWidth="1"/>
    <col min="27" max="27" width="9" style="39"/>
    <col min="28" max="34" width="9" style="39" customWidth="1"/>
    <col min="35" max="35" width="10.875" style="39" customWidth="1"/>
    <col min="36" max="36" width="9" style="39" customWidth="1"/>
    <col min="37" max="37" width="11.125" style="39" customWidth="1"/>
    <col min="38" max="42" width="9" style="39" customWidth="1"/>
    <col min="43" max="69" width="10.625" style="31" hidden="1" customWidth="1"/>
    <col min="70" max="70" width="15.625" style="31" hidden="1" customWidth="1"/>
    <col min="71" max="75" width="10.625" style="31" hidden="1" customWidth="1"/>
    <col min="76" max="76" width="23.75" style="67" hidden="1" customWidth="1"/>
    <col min="77" max="77" width="10" style="31" hidden="1" customWidth="1"/>
    <col min="78" max="78" width="9" style="39" hidden="1" customWidth="1"/>
    <col min="79" max="16384" width="9" style="39"/>
  </cols>
  <sheetData>
    <row r="1" spans="1:78" s="25" customFormat="1" ht="20.100000000000001" customHeight="1" x14ac:dyDescent="0.4">
      <c r="A1" s="35" t="s">
        <v>26</v>
      </c>
      <c r="B1" s="36"/>
      <c r="C1" s="36"/>
      <c r="D1" s="36"/>
      <c r="E1" s="36"/>
      <c r="F1" s="36"/>
      <c r="G1" s="36"/>
      <c r="H1" s="36"/>
      <c r="I1" s="36"/>
      <c r="J1" s="37"/>
      <c r="K1" s="37"/>
      <c r="L1" s="37"/>
      <c r="M1" s="37"/>
      <c r="N1" s="37"/>
      <c r="O1" s="37"/>
      <c r="P1" s="37"/>
      <c r="S1" s="15"/>
      <c r="U1" s="1"/>
      <c r="V1" s="1"/>
      <c r="W1" s="1"/>
      <c r="X1" s="142" t="s">
        <v>95</v>
      </c>
      <c r="Y1" s="143"/>
      <c r="Z1" s="144"/>
      <c r="AA1" s="1"/>
      <c r="AB1" s="1"/>
      <c r="AC1" s="1"/>
      <c r="AD1" s="1"/>
      <c r="AE1" s="1"/>
      <c r="AF1" s="1"/>
      <c r="AG1" s="1"/>
      <c r="AH1" s="1"/>
      <c r="AI1" s="1"/>
      <c r="AJ1" s="1"/>
      <c r="AK1" s="1"/>
      <c r="AL1" s="1"/>
      <c r="AM1" s="1"/>
      <c r="AN1" s="1"/>
      <c r="AO1" s="1"/>
      <c r="AQ1" s="15"/>
      <c r="AR1" s="15"/>
      <c r="AS1" s="15"/>
      <c r="AT1" s="15"/>
      <c r="AU1" s="15"/>
      <c r="AV1" s="15"/>
      <c r="AW1" s="15"/>
      <c r="AX1" s="15"/>
      <c r="AY1" s="15"/>
      <c r="AZ1" s="15"/>
      <c r="BA1" s="15"/>
      <c r="BB1" s="15"/>
      <c r="BC1" s="15"/>
      <c r="BD1" s="15"/>
      <c r="BE1" s="15"/>
      <c r="BF1" s="15"/>
      <c r="BG1" s="15"/>
      <c r="BH1" s="53" t="s">
        <v>72</v>
      </c>
      <c r="BI1" s="54">
        <f>SUMIFS(tbl利用3[利用分数],tbl利用3[利用区分],$AQ$4)</f>
        <v>1470</v>
      </c>
      <c r="BJ1" s="53" t="s">
        <v>77</v>
      </c>
      <c r="BK1" s="55">
        <f>SUMIFS(tbl利用3[利用分数],tbl利用3[利用区分],$AQ$5)</f>
        <v>165</v>
      </c>
      <c r="BL1" s="56" t="s">
        <v>83</v>
      </c>
      <c r="BM1" s="56">
        <f>SUMIFS(tbl利用3[日別区分補助額],tbl利用3[利用区分],$AQ$4,tbl利用3[日別区分代表行],1)</f>
        <v>56150</v>
      </c>
      <c r="BN1" s="15"/>
      <c r="BO1" s="15"/>
      <c r="BP1" s="15"/>
      <c r="BQ1" s="15"/>
      <c r="BR1" s="15"/>
      <c r="BS1" s="15"/>
      <c r="BT1" s="15"/>
      <c r="BU1" s="15"/>
      <c r="BV1" s="15"/>
      <c r="BW1" s="15"/>
      <c r="BX1" s="65"/>
      <c r="BY1" s="15"/>
    </row>
    <row r="2" spans="1:78" s="25" customFormat="1" ht="20.100000000000001" customHeight="1" x14ac:dyDescent="0.4">
      <c r="A2" s="35"/>
      <c r="B2" s="38"/>
      <c r="C2" s="38"/>
      <c r="D2" s="38"/>
      <c r="G2" s="37"/>
      <c r="H2" s="37"/>
      <c r="I2" s="37"/>
      <c r="J2" s="37"/>
      <c r="K2" s="37"/>
      <c r="L2" s="37"/>
      <c r="M2" s="37"/>
      <c r="N2" s="37"/>
      <c r="O2" s="37"/>
      <c r="P2" s="37"/>
      <c r="S2" s="15"/>
      <c r="U2" s="1"/>
      <c r="V2" s="1"/>
      <c r="W2" s="1"/>
      <c r="X2" s="145"/>
      <c r="Y2" s="146"/>
      <c r="Z2" s="147"/>
      <c r="AA2" s="1"/>
      <c r="AB2" s="1"/>
      <c r="AC2" s="1"/>
      <c r="AD2" s="1"/>
      <c r="AE2" s="1"/>
      <c r="AF2" s="1"/>
      <c r="AG2" s="1"/>
      <c r="AH2" s="1"/>
      <c r="AI2" s="1"/>
      <c r="AJ2" s="1"/>
      <c r="AK2" s="1"/>
      <c r="AL2" s="1"/>
      <c r="AM2" s="1"/>
      <c r="AN2" s="1"/>
      <c r="AO2" s="1"/>
      <c r="AQ2" s="15"/>
      <c r="AR2" s="15"/>
      <c r="AS2" s="15"/>
      <c r="AT2" s="15"/>
      <c r="AU2" s="15"/>
      <c r="AV2" s="15"/>
      <c r="AW2" s="15"/>
      <c r="AX2" s="15"/>
      <c r="AY2" s="15"/>
      <c r="AZ2" s="15"/>
      <c r="BA2" s="15"/>
      <c r="BB2" s="15"/>
      <c r="BC2" s="15"/>
      <c r="BD2" s="15"/>
      <c r="BE2" s="15"/>
      <c r="BF2" s="15"/>
      <c r="BG2" s="15"/>
      <c r="BH2" s="53" t="s">
        <v>73</v>
      </c>
      <c r="BI2" s="54">
        <f>INT(BI1/60)</f>
        <v>24</v>
      </c>
      <c r="BJ2" s="53" t="s">
        <v>78</v>
      </c>
      <c r="BK2" s="55">
        <f>INT(BK1/60)</f>
        <v>2</v>
      </c>
      <c r="BL2" s="56" t="s">
        <v>84</v>
      </c>
      <c r="BM2" s="56">
        <f>SUMIFS(tbl利用3[日別区分補助額],tbl利用3[利用区分],$AQ$5,tbl利用3[日別区分代表行],1)</f>
        <v>7000</v>
      </c>
      <c r="BN2" s="15"/>
      <c r="BO2" s="15"/>
      <c r="BP2" s="15"/>
      <c r="BQ2" s="15"/>
      <c r="BR2" s="15"/>
      <c r="BS2" s="15"/>
      <c r="BT2" s="15"/>
      <c r="BU2" s="15"/>
      <c r="BV2" s="15"/>
      <c r="BW2" s="15"/>
      <c r="BX2" s="65"/>
      <c r="BY2" s="15"/>
    </row>
    <row r="3" spans="1:78" s="25" customFormat="1" ht="33" customHeight="1" thickBot="1" x14ac:dyDescent="0.45">
      <c r="B3" s="125" t="s">
        <v>24</v>
      </c>
      <c r="C3" s="125"/>
      <c r="D3" s="125"/>
      <c r="E3" s="125"/>
      <c r="F3" s="33"/>
      <c r="G3" s="131" t="s">
        <v>89</v>
      </c>
      <c r="H3" s="132"/>
      <c r="I3" s="132"/>
      <c r="J3" s="132"/>
      <c r="K3" s="132"/>
      <c r="L3" s="132"/>
      <c r="M3" s="132"/>
      <c r="N3" s="132"/>
      <c r="O3" s="132"/>
      <c r="P3" s="132"/>
      <c r="Q3" s="133"/>
      <c r="R3" s="125" t="s">
        <v>23</v>
      </c>
      <c r="S3" s="125"/>
      <c r="T3" s="125"/>
      <c r="U3" s="134" t="s">
        <v>90</v>
      </c>
      <c r="V3" s="134"/>
      <c r="W3" s="131"/>
      <c r="X3" s="148"/>
      <c r="Y3" s="149"/>
      <c r="Z3" s="150"/>
      <c r="AA3" s="1"/>
      <c r="AB3" s="1"/>
      <c r="AC3" s="1"/>
      <c r="AD3" s="1"/>
      <c r="AE3" s="1"/>
      <c r="AF3" s="1"/>
      <c r="AG3" s="1"/>
      <c r="AH3" s="1"/>
      <c r="AI3" s="1"/>
      <c r="AJ3" s="1"/>
      <c r="AK3" s="1"/>
      <c r="AL3" s="1"/>
      <c r="AM3" s="1"/>
      <c r="AN3" s="1"/>
      <c r="AO3" s="1"/>
      <c r="AQ3" s="15"/>
      <c r="AR3" s="15"/>
      <c r="AS3" s="15"/>
      <c r="AT3" s="15"/>
      <c r="AU3" s="15"/>
      <c r="AV3" s="15"/>
      <c r="AW3" s="15"/>
      <c r="AX3" s="15"/>
      <c r="AY3" s="15"/>
      <c r="AZ3" s="15"/>
      <c r="BA3" s="15"/>
      <c r="BB3" s="15"/>
      <c r="BC3" s="15"/>
      <c r="BD3" s="15"/>
      <c r="BE3" s="15"/>
      <c r="BF3" s="15"/>
      <c r="BG3" s="15"/>
      <c r="BH3" s="62" t="s">
        <v>74</v>
      </c>
      <c r="BI3" s="57">
        <f>MOD(BI1,60)</f>
        <v>30</v>
      </c>
      <c r="BJ3" s="62" t="s">
        <v>79</v>
      </c>
      <c r="BK3" s="58">
        <f>MOD(BK1,60)</f>
        <v>45</v>
      </c>
      <c r="BL3" s="59" t="s">
        <v>82</v>
      </c>
      <c r="BM3" s="59">
        <f>SUMPRODUCT(tbl利用3[日別区分代表行],tbl利用3[日別区分補助額])</f>
        <v>63150</v>
      </c>
      <c r="BN3" s="15"/>
      <c r="BO3" s="15"/>
      <c r="BP3" s="15"/>
      <c r="BQ3" s="15"/>
      <c r="BR3" s="15"/>
      <c r="BS3" s="15"/>
      <c r="BT3" s="15"/>
      <c r="BU3" s="15"/>
      <c r="BV3" s="15"/>
      <c r="BW3" s="15"/>
      <c r="BX3" s="65"/>
      <c r="BY3" s="15"/>
    </row>
    <row r="4" spans="1:78" s="25" customFormat="1" ht="20.100000000000001" customHeight="1" x14ac:dyDescent="0.4">
      <c r="B4" s="77" t="s">
        <v>71</v>
      </c>
      <c r="C4" s="77"/>
      <c r="D4" s="77"/>
      <c r="E4" s="77"/>
      <c r="F4" s="77"/>
      <c r="G4" s="77"/>
      <c r="H4" s="77"/>
      <c r="I4" s="77"/>
      <c r="J4" s="77"/>
      <c r="K4" s="77"/>
      <c r="L4" s="77"/>
      <c r="M4" s="77"/>
      <c r="N4" s="77"/>
      <c r="O4" s="77"/>
      <c r="P4" s="77"/>
      <c r="Q4" s="77"/>
      <c r="R4" s="77"/>
      <c r="S4" s="77"/>
      <c r="T4" s="77"/>
      <c r="U4" s="77"/>
      <c r="V4" s="77"/>
      <c r="W4" s="77"/>
      <c r="X4" s="77"/>
      <c r="Y4" s="77"/>
      <c r="Z4" s="77"/>
      <c r="AA4" s="1"/>
      <c r="AB4" s="1"/>
      <c r="AC4" s="1"/>
      <c r="AD4" s="1"/>
      <c r="AE4" s="1"/>
      <c r="AF4" s="1"/>
      <c r="AG4" s="1"/>
      <c r="AH4" s="1"/>
      <c r="AI4" s="1"/>
      <c r="AJ4" s="1"/>
      <c r="AK4" s="1"/>
      <c r="AL4" s="1"/>
      <c r="AQ4" s="15" t="s">
        <v>67</v>
      </c>
      <c r="AR4" s="15">
        <v>2500</v>
      </c>
      <c r="AS4" s="15"/>
      <c r="AT4" s="15"/>
      <c r="AU4" s="15"/>
      <c r="AV4" s="15"/>
      <c r="AW4" s="15"/>
      <c r="AX4" s="15"/>
      <c r="AY4" s="15"/>
      <c r="AZ4" s="15"/>
      <c r="BA4" s="15"/>
      <c r="BB4" s="15"/>
      <c r="BC4" s="15"/>
      <c r="BD4" s="15"/>
      <c r="BE4" s="15"/>
      <c r="BF4" s="15"/>
      <c r="BG4" s="15"/>
      <c r="BH4" s="53" t="s">
        <v>75</v>
      </c>
      <c r="BI4" s="54">
        <f>SUMIFS(tbl利用3[切捨分数],tbl利用3[利用区分],$AQ$4)</f>
        <v>30</v>
      </c>
      <c r="BJ4" s="53" t="s">
        <v>80</v>
      </c>
      <c r="BK4" s="55">
        <f>SUMIFS(tbl利用3[切捨分数],tbl利用3[利用区分],$AQ$5)</f>
        <v>45</v>
      </c>
      <c r="BL4" s="68"/>
      <c r="BM4" s="68"/>
      <c r="BN4" s="15"/>
      <c r="BO4" s="15"/>
      <c r="BP4" s="15"/>
      <c r="BQ4" s="15"/>
      <c r="BR4" s="15"/>
      <c r="BS4" s="15"/>
      <c r="BT4" s="15"/>
      <c r="BU4" s="15"/>
      <c r="BV4" s="15"/>
      <c r="BW4" s="15"/>
      <c r="BX4" s="65"/>
      <c r="BY4" s="15"/>
    </row>
    <row r="5" spans="1:78" s="25" customFormat="1" ht="20.100000000000001" customHeight="1" x14ac:dyDescent="0.4">
      <c r="B5" s="77" t="s">
        <v>69</v>
      </c>
      <c r="C5" s="77"/>
      <c r="D5" s="77"/>
      <c r="E5" s="77"/>
      <c r="F5" s="77"/>
      <c r="G5" s="77"/>
      <c r="H5" s="77"/>
      <c r="I5" s="77"/>
      <c r="J5" s="77"/>
      <c r="K5" s="77"/>
      <c r="L5" s="77"/>
      <c r="M5" s="77"/>
      <c r="N5" s="77"/>
      <c r="O5" s="77"/>
      <c r="P5" s="77"/>
      <c r="Q5" s="77"/>
      <c r="R5" s="77"/>
      <c r="S5" s="77"/>
      <c r="T5" s="77"/>
      <c r="U5" s="77"/>
      <c r="V5" s="77"/>
      <c r="W5" s="77"/>
      <c r="X5" s="77"/>
      <c r="Y5" s="77"/>
      <c r="Z5" s="77"/>
      <c r="AA5" s="1"/>
      <c r="AB5" s="1"/>
      <c r="AC5" s="1"/>
      <c r="AD5" s="1"/>
      <c r="AE5" s="1"/>
      <c r="AF5" s="1"/>
      <c r="AG5" s="1"/>
      <c r="AH5" s="1"/>
      <c r="AI5" s="1"/>
      <c r="AJ5" s="1"/>
      <c r="AK5" s="1"/>
      <c r="AL5" s="1"/>
      <c r="AQ5" s="15" t="s">
        <v>68</v>
      </c>
      <c r="AR5" s="15">
        <v>3500</v>
      </c>
      <c r="AS5" s="15"/>
      <c r="AT5" s="15"/>
      <c r="AU5" s="15"/>
      <c r="AV5" s="15"/>
      <c r="AW5" s="15"/>
      <c r="AX5" s="15"/>
      <c r="AY5" s="15"/>
      <c r="AZ5" s="15"/>
      <c r="BA5" s="15"/>
      <c r="BB5" s="15"/>
      <c r="BC5" s="15"/>
      <c r="BD5" s="15"/>
      <c r="BE5" s="15"/>
      <c r="BF5" s="15"/>
      <c r="BG5" s="15"/>
      <c r="BH5" s="53" t="s">
        <v>76</v>
      </c>
      <c r="BI5" s="57" t="str">
        <f>IF(BI3=BI4,"OK","要確認")</f>
        <v>OK</v>
      </c>
      <c r="BJ5" s="53" t="s">
        <v>81</v>
      </c>
      <c r="BK5" s="57" t="str">
        <f>IF(BK3=BK4,"OK","要確認")</f>
        <v>OK</v>
      </c>
      <c r="BL5" s="60"/>
      <c r="BM5" s="61"/>
      <c r="BN5" s="15"/>
      <c r="BO5" s="15"/>
      <c r="BP5" s="15"/>
      <c r="BQ5" s="15"/>
      <c r="BR5" s="15"/>
      <c r="BS5" s="15"/>
      <c r="BT5" s="15"/>
      <c r="BU5" s="15"/>
      <c r="BV5" s="15"/>
      <c r="BW5" s="15"/>
      <c r="BX5" s="65"/>
      <c r="BY5" s="15"/>
    </row>
    <row r="6" spans="1:78" s="1" customFormat="1" ht="20.100000000000001" customHeight="1" x14ac:dyDescent="0.4">
      <c r="B6" s="78" t="s">
        <v>70</v>
      </c>
      <c r="C6" s="78"/>
      <c r="D6" s="78"/>
      <c r="E6" s="78"/>
      <c r="F6" s="78"/>
      <c r="G6" s="78"/>
      <c r="H6" s="78"/>
      <c r="I6" s="78"/>
      <c r="J6" s="78"/>
      <c r="K6" s="78"/>
      <c r="L6" s="78"/>
      <c r="M6" s="78"/>
      <c r="N6" s="78"/>
      <c r="O6" s="78"/>
      <c r="P6" s="78"/>
      <c r="Q6" s="78"/>
      <c r="R6" s="78"/>
      <c r="S6" s="78"/>
      <c r="T6" s="78"/>
      <c r="U6" s="78"/>
      <c r="V6" s="78"/>
      <c r="W6" s="78"/>
      <c r="X6" s="78"/>
      <c r="Y6" s="78"/>
      <c r="Z6" s="78"/>
      <c r="AQ6" s="15"/>
      <c r="AR6" s="15"/>
      <c r="AS6" s="15"/>
      <c r="BH6" s="64" t="s">
        <v>88</v>
      </c>
      <c r="BI6" s="63">
        <f>SUMIFS(tbl利用3[日別区分補助減少額],tbl利用3[利用区分],$AQ$4,tbl利用3[日別区分代表行],1)</f>
        <v>0</v>
      </c>
      <c r="BJ6" s="64" t="s">
        <v>88</v>
      </c>
      <c r="BK6" s="63">
        <f>SUMIFS(tbl利用3[日別区分補助減少額],tbl利用3[利用区分],$AQ$5,tbl利用3[日別区分代表行],1)</f>
        <v>2250</v>
      </c>
      <c r="BX6" s="42"/>
    </row>
    <row r="7" spans="1:78" s="1" customFormat="1" ht="30" customHeight="1" x14ac:dyDescent="0.4">
      <c r="A7" s="19" t="s">
        <v>25</v>
      </c>
      <c r="B7" s="126" t="s">
        <v>0</v>
      </c>
      <c r="C7" s="127"/>
      <c r="D7" s="127"/>
      <c r="E7" s="124"/>
      <c r="F7" s="23" t="s">
        <v>66</v>
      </c>
      <c r="G7" s="128" t="s">
        <v>32</v>
      </c>
      <c r="H7" s="129"/>
      <c r="I7" s="129"/>
      <c r="J7" s="129"/>
      <c r="K7" s="129"/>
      <c r="L7" s="129"/>
      <c r="M7" s="129"/>
      <c r="N7" s="123" t="s">
        <v>1</v>
      </c>
      <c r="O7" s="124"/>
      <c r="P7" s="124"/>
      <c r="Q7" s="124"/>
      <c r="R7" s="130" t="s">
        <v>2</v>
      </c>
      <c r="S7" s="130"/>
      <c r="T7" s="130"/>
      <c r="U7" s="120" t="s">
        <v>94</v>
      </c>
      <c r="V7" s="121"/>
      <c r="W7" s="121"/>
      <c r="X7" s="120" t="s">
        <v>93</v>
      </c>
      <c r="Y7" s="121"/>
      <c r="Z7" s="121"/>
      <c r="AB7" s="122" t="s">
        <v>5</v>
      </c>
      <c r="AC7" s="122"/>
      <c r="AD7" s="122"/>
      <c r="AE7" s="122"/>
      <c r="AF7" s="122"/>
      <c r="AG7" s="122"/>
      <c r="AH7" s="122"/>
      <c r="AI7" s="123" t="s">
        <v>6</v>
      </c>
      <c r="AJ7" s="124"/>
      <c r="AK7" s="124"/>
      <c r="AL7" s="124"/>
      <c r="AM7" s="122" t="s">
        <v>7</v>
      </c>
      <c r="AN7" s="122"/>
      <c r="AO7" s="122"/>
      <c r="AP7" s="123"/>
      <c r="AQ7" s="26" t="s">
        <v>34</v>
      </c>
      <c r="AR7" s="26" t="s">
        <v>35</v>
      </c>
      <c r="AS7" s="26" t="s">
        <v>36</v>
      </c>
      <c r="AT7" s="26" t="s">
        <v>37</v>
      </c>
      <c r="AU7" s="26" t="s">
        <v>38</v>
      </c>
      <c r="AV7" s="26" t="s">
        <v>39</v>
      </c>
      <c r="AW7" s="26" t="s">
        <v>40</v>
      </c>
      <c r="AX7" s="26" t="s">
        <v>41</v>
      </c>
      <c r="AY7" s="26" t="s">
        <v>42</v>
      </c>
      <c r="AZ7" s="26" t="s">
        <v>43</v>
      </c>
      <c r="BA7" s="26" t="s">
        <v>44</v>
      </c>
      <c r="BB7" s="26" t="s">
        <v>45</v>
      </c>
      <c r="BC7" s="26" t="s">
        <v>46</v>
      </c>
      <c r="BD7" s="26" t="s">
        <v>47</v>
      </c>
      <c r="BE7" s="26" t="s">
        <v>48</v>
      </c>
      <c r="BF7" s="26" t="s">
        <v>49</v>
      </c>
      <c r="BG7" s="26" t="s">
        <v>50</v>
      </c>
      <c r="BH7" s="26" t="s">
        <v>51</v>
      </c>
      <c r="BI7" s="26" t="s">
        <v>52</v>
      </c>
      <c r="BJ7" s="47" t="s">
        <v>53</v>
      </c>
      <c r="BK7" s="49" t="s">
        <v>54</v>
      </c>
      <c r="BL7" s="70" t="s">
        <v>91</v>
      </c>
      <c r="BM7" s="48" t="s">
        <v>55</v>
      </c>
      <c r="BN7" s="26" t="s">
        <v>56</v>
      </c>
      <c r="BO7" s="26" t="s">
        <v>57</v>
      </c>
      <c r="BP7" s="26" t="s">
        <v>58</v>
      </c>
      <c r="BQ7" s="26" t="s">
        <v>85</v>
      </c>
      <c r="BR7" s="47" t="s">
        <v>86</v>
      </c>
      <c r="BS7" s="51" t="s">
        <v>87</v>
      </c>
      <c r="BT7" s="48" t="s">
        <v>59</v>
      </c>
      <c r="BU7" s="26" t="s">
        <v>60</v>
      </c>
      <c r="BV7" s="26" t="s">
        <v>61</v>
      </c>
      <c r="BW7" s="26" t="s">
        <v>62</v>
      </c>
      <c r="BX7" s="26" t="s">
        <v>63</v>
      </c>
      <c r="BY7" s="26" t="s">
        <v>64</v>
      </c>
      <c r="BZ7" s="26" t="s">
        <v>65</v>
      </c>
    </row>
    <row r="8" spans="1:78" s="1" customFormat="1" ht="28.5" customHeight="1" x14ac:dyDescent="0.4">
      <c r="A8" s="19">
        <v>1</v>
      </c>
      <c r="B8" s="75">
        <v>46113</v>
      </c>
      <c r="C8" s="76"/>
      <c r="D8" s="76"/>
      <c r="E8" s="76"/>
      <c r="F8" s="34" t="s">
        <v>67</v>
      </c>
      <c r="G8" s="13">
        <v>10</v>
      </c>
      <c r="H8" s="22" t="s">
        <v>8</v>
      </c>
      <c r="I8" s="14">
        <v>10</v>
      </c>
      <c r="J8" s="22" t="s">
        <v>9</v>
      </c>
      <c r="K8" s="14">
        <v>12</v>
      </c>
      <c r="L8" s="22" t="s">
        <v>8</v>
      </c>
      <c r="M8" s="14">
        <v>10</v>
      </c>
      <c r="N8" s="2">
        <f>IF(OR(ISBLANK(G8),ISBLANK(I8),ISBLANK(K8),ISBLANK(M8)),"",IF(IF(M8-I8&lt;0,K8-G8-1,K8-G8)&lt;0,"エラー",IF(M8-I8&lt;0,K8-G8-1,K8-G8)))</f>
        <v>2</v>
      </c>
      <c r="O8" s="22" t="s">
        <v>10</v>
      </c>
      <c r="P8" s="22">
        <f>IF(OR(ISBLANK(G8),ISBLANK(I8),ISBLANK(K8),ISBLANK(M8)),"",IF(N8="エラー","エラー",IF(M8-I8&lt;0,M8-I8+60,M8-I8)))</f>
        <v>0</v>
      </c>
      <c r="Q8" s="3" t="s">
        <v>11</v>
      </c>
      <c r="R8" s="79">
        <v>5000</v>
      </c>
      <c r="S8" s="80"/>
      <c r="T8" s="4" t="s">
        <v>12</v>
      </c>
      <c r="U8" s="79">
        <v>830</v>
      </c>
      <c r="V8" s="80"/>
      <c r="W8" s="4" t="s">
        <v>12</v>
      </c>
      <c r="X8" s="79">
        <v>500</v>
      </c>
      <c r="Y8" s="80"/>
      <c r="Z8" s="4" t="s">
        <v>12</v>
      </c>
      <c r="AB8" s="5">
        <f>IF(K8&lt;7,"",IF(G8&gt;22,0,IF(G8&lt;7,7,G8)))</f>
        <v>10</v>
      </c>
      <c r="AC8" s="20" t="s">
        <v>8</v>
      </c>
      <c r="AD8" s="6">
        <f t="shared" ref="AD8:AD11" si="0">IF(AB8="","",IF(G8&gt;21,0,IF(G8&lt;7,0,I8)))</f>
        <v>10</v>
      </c>
      <c r="AE8" s="20" t="s">
        <v>9</v>
      </c>
      <c r="AF8" s="6">
        <f>IF(AB8="","",IF(G8&gt;22,"",IF(K8&gt;22,22,IF(K8&lt;7,0,K8))))</f>
        <v>12</v>
      </c>
      <c r="AG8" s="20" t="s">
        <v>8</v>
      </c>
      <c r="AH8" s="6">
        <f>IF(AB8="","",IF(K8&gt;21,0,IF(K8&lt;7,0,M8)))</f>
        <v>10</v>
      </c>
      <c r="AI8" s="7">
        <f>IFERROR(IF(OR(ISBLANK(AB8),ISBLANK(AD8),ISBLANK(AF8),ISBLANK(AH8)),"",IF(AH8-AD8&lt;0,AF8-AB8-1,AF8-AB8)),"")</f>
        <v>2</v>
      </c>
      <c r="AJ8" s="20" t="s">
        <v>10</v>
      </c>
      <c r="AK8" s="8">
        <f>IFERROR(IF(OR(ISBLANK(AB8),ISBLANK(AD8),ISBLANK(AF8),ISBLANK(AH8)),"",IF(AH8-AD8&lt;0,AH8-AD8+60,AH8-AD8)),"")</f>
        <v>0</v>
      </c>
      <c r="AL8" s="9" t="s">
        <v>11</v>
      </c>
      <c r="AM8" s="7">
        <f>IF(AI8="",N8,IFERROR(IF(P8-AK8&lt;0,N8-AI8-1,N8-AI8),""))</f>
        <v>0</v>
      </c>
      <c r="AN8" s="20" t="s">
        <v>10</v>
      </c>
      <c r="AO8" s="8">
        <f>IF(AK8="",P8,IFERROR(IF(P8-AK8&lt;0,P8-AK8+60,P8-AK8),""))</f>
        <v>0</v>
      </c>
      <c r="AP8" s="9" t="s">
        <v>11</v>
      </c>
      <c r="AQ8" s="15" cm="1">
        <f t="array" ref="AQ8">IF(tbl利用3[[#This Row],[利用日]]="","",ROW()-ROW(tbl利用3[#Headers]))</f>
        <v>1</v>
      </c>
      <c r="AR8" s="32">
        <f>IF(B8="","",B8)</f>
        <v>46113</v>
      </c>
      <c r="AS8" s="15"/>
      <c r="AT8" s="43" t="str">
        <f>IF(F8="","",F8)</f>
        <v>利用区分１</v>
      </c>
      <c r="AU8" s="1">
        <f>IF(F8="利用区分１",AI8,AM8)</f>
        <v>2</v>
      </c>
      <c r="AV8" s="1">
        <f>IF(F8="利用区分１",AK8,AO8)</f>
        <v>0</v>
      </c>
      <c r="AW8" s="1">
        <f>IF(tbl利用3[[#This Row],[利用日]]="","",N(tbl利用3[[#This Row],[利用時間_時]])*60+N(tbl利用3[[#This Row],[利用時間_分]]))</f>
        <v>120</v>
      </c>
      <c r="AX8" s="44">
        <f>IF(R8="","",R8)</f>
        <v>5000</v>
      </c>
      <c r="AY8" s="44">
        <f t="shared" ref="AY8:AY42" si="1">IF(X8="","",X8)</f>
        <v>500</v>
      </c>
      <c r="AZ8" s="45">
        <f>IF(tbl利用3[[#This Row],[利用日]]="","",MAX(0,N(tbl利用3[[#This Row],[割引前利用額]])-N(tbl利用3[[#This Row],[割引額]])))</f>
        <v>4500</v>
      </c>
      <c r="BA8" s="45">
        <f>IF(OR(tbl利用3[[#This Row],[利用日]]="",tbl利用3[[#This Row],[利用分数]]&lt;=0),"",N(tbl利用3[[#This Row],[割引前利用額]])/tbl利用3[[#This Row],[利用分数]]*60)</f>
        <v>2500</v>
      </c>
      <c r="BB8" s="45">
        <f>IF(tbl利用3[[#This Row],[利用区分]]="","",_xlfn.XLOOKUP(tbl利用3[[#This Row],[利用区分]],$AQ$4:$AQ$5,$AR$4:$AR$5,"区分未登録"))</f>
        <v>2500</v>
      </c>
      <c r="BC8" s="45">
        <f>IF(OR(tbl利用3[[#This Row],[通常時間単価]]="",NOT(ISNUMBER(tbl利用3[[#This Row],[上限単価]]))),"",MIN(tbl利用3[[#This Row],[通常時間単価]],tbl利用3[[#This Row],[上限単価]]))</f>
        <v>2500</v>
      </c>
      <c r="BD8" s="45">
        <f>IF(tbl利用3[[#This Row],[利用日]]="","",tbl利用3[[#This Row],[利用分数]]/60*tbl利用3[[#This Row],[基準単価]])</f>
        <v>5000</v>
      </c>
      <c r="BE8" s="69" t="str">
        <f>IF(OR(tbl利用3[[#This Row],[利用日]]="",tbl利用3[[#This Row],[利用区分]]=""),"",TEXT(tbl利用3[[#This Row],[利用日]],"yyyymmdd")&amp;"|"&amp;tbl利用3[[#This Row],[利用区分]])</f>
        <v>20260401|利用区分１</v>
      </c>
      <c r="BF8" s="45">
        <f>IF(tbl利用3[[#This Row],[日別区分キー]]="","",SUMIFS(tbl利用3[明細実支出額],tbl利用3[日別区分キー],tbl利用3[[#This Row],[日別区分キー]]))</f>
        <v>4500</v>
      </c>
      <c r="BG8" s="45">
        <f>IF(tbl利用3[[#This Row],[日別区分キー]]="","",SUMIFS(tbl利用3[処理前明細基準額],tbl利用3[日別区分キー],tbl利用3[[#This Row],[日別区分キー]]))</f>
        <v>5000</v>
      </c>
      <c r="BH8" s="45">
        <f>IF(tbl利用3[[#This Row],[日別区分キー]]="","",ROUNDDOWN(MIN(tbl利用3[[#This Row],[日別区分実支出額]],tbl利用3[[#This Row],[日別区分処理前基準額]]),0))</f>
        <v>4500</v>
      </c>
      <c r="BI8" s="45">
        <f>IF(tbl利用3[[#This Row],[日別区分キー]]="","",MAX(0,tbl利用3[[#This Row],[日別区分処理前基準額]]-tbl利用3[[#This Row],[日別区分実支出額]]))</f>
        <v>500</v>
      </c>
      <c r="BJ8" s="45">
        <f>IF(OR(tbl利用3[[#This Row],[利用日]]="",tbl利用3[[#This Row],[基準単価]]&lt;=0),0,MIN(tbl利用3[[#This Row],[利用分数]],ROUNDDOWN(tbl利用3[[#This Row],[日別区分余裕額]]/(tbl利用3[[#This Row],[基準単価]]/60),0)))</f>
        <v>12</v>
      </c>
      <c r="BK8" s="50">
        <v>12</v>
      </c>
      <c r="BL8" s="71" t="str">
        <f t="shared" ref="BL8:BL42" si="2">IF(F8="","",F8)</f>
        <v>利用区分１</v>
      </c>
      <c r="BM8" s="45">
        <f>IF(tbl利用3[[#This Row],[利用日]]="","",MAX(0,tbl利用3[[#This Row],[利用分数]]-N(tbl利用3[[#This Row],[切捨分数]])))</f>
        <v>108</v>
      </c>
      <c r="BN8" s="45">
        <f>IF(tbl利用3[[#This Row],[利用日]]="","",tbl利用3[[#This Row],[処理後利用分数]]/60*tbl利用3[[#This Row],[基準単価]])</f>
        <v>4500</v>
      </c>
      <c r="BO8" s="45">
        <f>IF(tbl利用3[[#This Row],[日別区分キー]]="","",SUMIFS(tbl利用3[処理後明細基準額],tbl利用3[日別区分キー],tbl利用3[[#This Row],[日別区分キー]]))</f>
        <v>4500</v>
      </c>
      <c r="BP8" s="45">
        <f>IF(tbl利用3[[#This Row],[日別区分キー]]="","",ROUNDDOWN(MIN(tbl利用3[[#This Row],[日別区分実支出額]],tbl利用3[[#This Row],[日別区分処理後基準額]]),0))</f>
        <v>4500</v>
      </c>
      <c r="BQ8" s="45">
        <f>IF(tbl利用3[[#This Row],[日別区分キー]]="","",tbl利用3[[#This Row],[日別区分処理前補助額]]-tbl利用3[[#This Row],[日別区分補助額]])</f>
        <v>0</v>
      </c>
      <c r="BR8" s="45">
        <f>IF(OR(tbl利用3[[#This Row],[日別区分キー]]="",tbl利用3[[#This Row],[処理後利用分数]]&lt;=0),"",ROUNDDOWN(MIN(tbl利用3[[#This Row],[日別区分実支出額]],tbl利用3[[#This Row],[日別区分処理後基準額]]-tbl利用3[[#This Row],[基準単価]]/60),0))</f>
        <v>4458</v>
      </c>
      <c r="BS8" s="52">
        <f>IF(tbl利用3[[#This Row],[次の1分切捨時補助額]]="","",tbl利用3[[#This Row],[日別区分補助額]]-tbl利用3[[#This Row],[次の1分切捨時補助額]])</f>
        <v>42</v>
      </c>
      <c r="BT8" s="45">
        <f>IF(tbl利用3[[#This Row],[日別区分キー]]="","",--(COUNTIF(INDEX(tbl利用3[日別区分キー],1):tbl利用3[[#This Row],[日別区分キー]],tbl利用3[[#This Row],[日別区分キー]])=1))</f>
        <v>1</v>
      </c>
      <c r="BU8" s="45">
        <f>IF(tbl利用3[[#This Row],[利用区分]]="","",SUMIFS(tbl利用3[利用分数],tbl利用3[利用区分],tbl利用3[[#This Row],[利用区分]]))</f>
        <v>1470</v>
      </c>
      <c r="BV8" s="45">
        <f>IF(tbl利用3[[#This Row],[利用区分]]="","",MOD(tbl利用3[[#This Row],[区分総利用分数]],60))</f>
        <v>30</v>
      </c>
      <c r="BW8" s="45">
        <f>IF(tbl利用3[[#This Row],[利用区分]]="","",SUMIFS(tbl利用3[切捨分数],tbl利用3[利用区分],tbl利用3[[#This Row],[利用区分]]))</f>
        <v>30</v>
      </c>
      <c r="BX8" s="45" t="str">
        <f>IF(tbl利用3[[#This Row],[利用区分]]="","",IF(tbl利用3[[#This Row],[区分必要切捨分数]]=tbl利用3[[#This Row],[区分入力切捨合計]],"OK","要確認"))</f>
        <v>OK</v>
      </c>
      <c r="BY8"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
      </c>
      <c r="BZ8" s="46"/>
    </row>
    <row r="9" spans="1:78" s="1" customFormat="1" ht="28.5" customHeight="1" x14ac:dyDescent="0.4">
      <c r="A9" s="19">
        <v>2</v>
      </c>
      <c r="B9" s="75">
        <v>46127</v>
      </c>
      <c r="C9" s="76"/>
      <c r="D9" s="76"/>
      <c r="E9" s="76"/>
      <c r="F9" s="34" t="s">
        <v>67</v>
      </c>
      <c r="G9" s="13">
        <v>9</v>
      </c>
      <c r="H9" s="22" t="s">
        <v>8</v>
      </c>
      <c r="I9" s="14">
        <v>0</v>
      </c>
      <c r="J9" s="22" t="s">
        <v>9</v>
      </c>
      <c r="K9" s="14">
        <v>15</v>
      </c>
      <c r="L9" s="22" t="s">
        <v>8</v>
      </c>
      <c r="M9" s="14">
        <v>0</v>
      </c>
      <c r="N9" s="2">
        <f t="shared" ref="N9:N42" si="3">IF(OR(ISBLANK(G9),ISBLANK(I9),ISBLANK(K9),ISBLANK(M9)),"",IF(IF(M9-I9&lt;0,K9-G9-1,K9-G9)&lt;0,"エラー",IF(M9-I9&lt;0,K9-G9-1,K9-G9)))</f>
        <v>6</v>
      </c>
      <c r="O9" s="22" t="s">
        <v>10</v>
      </c>
      <c r="P9" s="22">
        <f t="shared" ref="P9" si="4">IF(OR(ISBLANK(G9),ISBLANK(I9),ISBLANK(K9),ISBLANK(M9)),"",IF(N9="エラー","エラー",IF(M9-I9&lt;0,M9-I9+60,M9-I9)))</f>
        <v>0</v>
      </c>
      <c r="Q9" s="3" t="s">
        <v>11</v>
      </c>
      <c r="R9" s="79">
        <v>18000</v>
      </c>
      <c r="S9" s="80"/>
      <c r="T9" s="4" t="s">
        <v>12</v>
      </c>
      <c r="U9" s="79">
        <v>830</v>
      </c>
      <c r="V9" s="80"/>
      <c r="W9" s="4" t="s">
        <v>12</v>
      </c>
      <c r="X9" s="80">
        <v>0</v>
      </c>
      <c r="Y9" s="81"/>
      <c r="Z9" s="4" t="s">
        <v>12</v>
      </c>
      <c r="AB9" s="5">
        <f t="shared" ref="AB9:AB37" si="5">IF(K9&lt;7,"",IF(G9&gt;22,0,IF(G9&lt;7,7,G9)))</f>
        <v>9</v>
      </c>
      <c r="AC9" s="20" t="s">
        <v>8</v>
      </c>
      <c r="AD9" s="6">
        <f t="shared" si="0"/>
        <v>0</v>
      </c>
      <c r="AE9" s="20" t="s">
        <v>9</v>
      </c>
      <c r="AF9" s="6">
        <f t="shared" ref="AF9:AF10" si="6">IF(AB9="","",IF(G9&gt;22,"",IF(K9&gt;22,22,IF(K9&lt;7,0,K9))))</f>
        <v>15</v>
      </c>
      <c r="AG9" s="20" t="s">
        <v>8</v>
      </c>
      <c r="AH9" s="6">
        <f t="shared" ref="AH9:AH42" si="7">IF(AB9="","",IF(K9&gt;21,0,IF(K9&lt;7,0,M9)))</f>
        <v>0</v>
      </c>
      <c r="AI9" s="7">
        <f t="shared" ref="AI9:AI11" si="8">IFERROR(IF(OR(ISBLANK(AB9),ISBLANK(AD9),ISBLANK(AF9),ISBLANK(AH9)),"",IF(AH9-AD9&lt;0,AF9-AB9-1,AF9-AB9)),"")</f>
        <v>6</v>
      </c>
      <c r="AJ9" s="20" t="s">
        <v>10</v>
      </c>
      <c r="AK9" s="8">
        <f t="shared" ref="AK9:AK42" si="9">IFERROR(IF(OR(ISBLANK(AB9),ISBLANK(AD9),ISBLANK(AF9),ISBLANK(AH9)),"",IF(AH9-AD9&lt;0,AH9-AD9+60,AH9-AD9)),"")</f>
        <v>0</v>
      </c>
      <c r="AL9" s="9" t="s">
        <v>11</v>
      </c>
      <c r="AM9" s="7">
        <f t="shared" ref="AM9:AM42" si="10">IF(AI9="",N9,IFERROR(IF(P9-AK9&lt;0,N9-AI9-1,N9-AI9),""))</f>
        <v>0</v>
      </c>
      <c r="AN9" s="20" t="s">
        <v>10</v>
      </c>
      <c r="AO9" s="8">
        <f t="shared" ref="AO9:AO42" si="11">IF(AK9="",P9,IFERROR(IF(P9-AK9&lt;0,P9-AK9+60,P9-AK9),""))</f>
        <v>0</v>
      </c>
      <c r="AP9" s="10" t="s">
        <v>11</v>
      </c>
      <c r="AQ9" s="15" cm="1">
        <f t="array" ref="AQ9">IF(tbl利用3[[#This Row],[利用日]]="","",ROW()-ROW(tbl利用3[#Headers]))</f>
        <v>2</v>
      </c>
      <c r="AR9" s="32">
        <f t="shared" ref="AR9:AR29" si="12">IF(B9="","",B9)</f>
        <v>46127</v>
      </c>
      <c r="AS9" s="15"/>
      <c r="AT9" s="43" t="str">
        <f t="shared" ref="AT9:AT12" si="13">IF(F9="","",F9)</f>
        <v>利用区分１</v>
      </c>
      <c r="AU9" s="1">
        <f t="shared" ref="AU9:AU29" si="14">IF(F9="利用区分１",AI9,AM9)</f>
        <v>6</v>
      </c>
      <c r="AV9" s="1">
        <f t="shared" ref="AV9:AV29" si="15">IF(F9="利用区分１",AK9,AO9)</f>
        <v>0</v>
      </c>
      <c r="AW9" s="1">
        <f>IF(tbl利用3[[#This Row],[利用日]]="","",N(tbl利用3[[#This Row],[利用時間_時]])*60+N(tbl利用3[[#This Row],[利用時間_分]]))</f>
        <v>360</v>
      </c>
      <c r="AX9" s="44">
        <f t="shared" ref="AX9:AX42" si="16">IF(R9="","",R9)</f>
        <v>18000</v>
      </c>
      <c r="AY9" s="44">
        <f t="shared" si="1"/>
        <v>0</v>
      </c>
      <c r="AZ9" s="45">
        <f>IF(tbl利用3[[#This Row],[利用日]]="","",MAX(0,N(tbl利用3[[#This Row],[割引前利用額]])-N(tbl利用3[[#This Row],[割引額]])))</f>
        <v>18000</v>
      </c>
      <c r="BA9" s="45">
        <f>IF(OR(tbl利用3[[#This Row],[利用日]]="",tbl利用3[[#This Row],[利用分数]]&lt;=0),"",N(tbl利用3[[#This Row],[割引前利用額]])/tbl利用3[[#This Row],[利用分数]]*60)</f>
        <v>3000</v>
      </c>
      <c r="BB9" s="45">
        <f>IF(tbl利用3[[#This Row],[利用区分]]="","",_xlfn.XLOOKUP(tbl利用3[[#This Row],[利用区分]],$AQ$4:$AQ$5,$AR$4:$AR$5,"区分未登録"))</f>
        <v>2500</v>
      </c>
      <c r="BC9" s="45">
        <f>IF(OR(tbl利用3[[#This Row],[通常時間単価]]="",NOT(ISNUMBER(tbl利用3[[#This Row],[上限単価]]))),"",MIN(tbl利用3[[#This Row],[通常時間単価]],tbl利用3[[#This Row],[上限単価]]))</f>
        <v>2500</v>
      </c>
      <c r="BD9" s="45">
        <f>IF(tbl利用3[[#This Row],[利用日]]="","",tbl利用3[[#This Row],[利用分数]]/60*tbl利用3[[#This Row],[基準単価]])</f>
        <v>15000</v>
      </c>
      <c r="BE9" s="69" t="str">
        <f>IF(OR(tbl利用3[[#This Row],[利用日]]="",tbl利用3[[#This Row],[利用区分]]=""),"",TEXT(tbl利用3[[#This Row],[利用日]],"yyyymmdd")&amp;"|"&amp;tbl利用3[[#This Row],[利用区分]])</f>
        <v>20260415|利用区分１</v>
      </c>
      <c r="BF9" s="45">
        <f>IF(tbl利用3[[#This Row],[日別区分キー]]="","",SUMIFS(tbl利用3[明細実支出額],tbl利用3[日別区分キー],tbl利用3[[#This Row],[日別区分キー]]))</f>
        <v>18000</v>
      </c>
      <c r="BG9" s="45">
        <f>IF(tbl利用3[[#This Row],[日別区分キー]]="","",SUMIFS(tbl利用3[処理前明細基準額],tbl利用3[日別区分キー],tbl利用3[[#This Row],[日別区分キー]]))</f>
        <v>15000</v>
      </c>
      <c r="BH9" s="45">
        <f>IF(tbl利用3[[#This Row],[日別区分キー]]="","",ROUNDDOWN(MIN(tbl利用3[[#This Row],[日別区分実支出額]],tbl利用3[[#This Row],[日別区分処理前基準額]]),0))</f>
        <v>15000</v>
      </c>
      <c r="BI9" s="45">
        <f>IF(tbl利用3[[#This Row],[日別区分キー]]="","",MAX(0,tbl利用3[[#This Row],[日別区分処理前基準額]]-tbl利用3[[#This Row],[日別区分実支出額]]))</f>
        <v>0</v>
      </c>
      <c r="BJ9" s="45">
        <f>IF(OR(tbl利用3[[#This Row],[利用日]]="",tbl利用3[[#This Row],[基準単価]]&lt;=0),0,MIN(tbl利用3[[#This Row],[利用分数]],ROUNDDOWN(tbl利用3[[#This Row],[日別区分余裕額]]/(tbl利用3[[#This Row],[基準単価]]/60),0)))</f>
        <v>0</v>
      </c>
      <c r="BK9" s="50"/>
      <c r="BL9" s="71" t="str">
        <f t="shared" si="2"/>
        <v>利用区分１</v>
      </c>
      <c r="BM9" s="45">
        <f>IF(tbl利用3[[#This Row],[利用日]]="","",MAX(0,tbl利用3[[#This Row],[利用分数]]-N(tbl利用3[[#This Row],[切捨分数]])))</f>
        <v>360</v>
      </c>
      <c r="BN9" s="45">
        <f>IF(tbl利用3[[#This Row],[利用日]]="","",tbl利用3[[#This Row],[処理後利用分数]]/60*tbl利用3[[#This Row],[基準単価]])</f>
        <v>15000</v>
      </c>
      <c r="BO9" s="45">
        <f>IF(tbl利用3[[#This Row],[日別区分キー]]="","",SUMIFS(tbl利用3[処理後明細基準額],tbl利用3[日別区分キー],tbl利用3[[#This Row],[日別区分キー]]))</f>
        <v>15000</v>
      </c>
      <c r="BP9" s="45">
        <f>IF(tbl利用3[[#This Row],[日別区分キー]]="","",ROUNDDOWN(MIN(tbl利用3[[#This Row],[日別区分実支出額]],tbl利用3[[#This Row],[日別区分処理後基準額]]),0))</f>
        <v>15000</v>
      </c>
      <c r="BQ9" s="45">
        <f>IF(tbl利用3[[#This Row],[日別区分キー]]="","",tbl利用3[[#This Row],[日別区分処理前補助額]]-tbl利用3[[#This Row],[日別区分補助額]])</f>
        <v>0</v>
      </c>
      <c r="BR9" s="45">
        <f>IF(OR(tbl利用3[[#This Row],[日別区分キー]]="",tbl利用3[[#This Row],[処理後利用分数]]&lt;=0),"",ROUNDDOWN(MIN(tbl利用3[[#This Row],[日別区分実支出額]],tbl利用3[[#This Row],[日別区分処理後基準額]]-tbl利用3[[#This Row],[基準単価]]/60),0))</f>
        <v>14958</v>
      </c>
      <c r="BS9" s="52">
        <f>IF(tbl利用3[[#This Row],[次の1分切捨時補助額]]="","",tbl利用3[[#This Row],[日別区分補助額]]-tbl利用3[[#This Row],[次の1分切捨時補助額]])</f>
        <v>42</v>
      </c>
      <c r="BT9" s="45">
        <f>IF(tbl利用3[[#This Row],[日別区分キー]]="","",--(COUNTIF(INDEX(tbl利用3[日別区分キー],1):tbl利用3[[#This Row],[日別区分キー]],tbl利用3[[#This Row],[日別区分キー]])=1))</f>
        <v>1</v>
      </c>
      <c r="BU9" s="45">
        <f>IF(tbl利用3[[#This Row],[利用区分]]="","",SUMIFS(tbl利用3[利用分数],tbl利用3[利用区分],tbl利用3[[#This Row],[利用区分]]))</f>
        <v>1470</v>
      </c>
      <c r="BV9" s="45">
        <f>IF(tbl利用3[[#This Row],[利用区分]]="","",MOD(tbl利用3[[#This Row],[区分総利用分数]],60))</f>
        <v>30</v>
      </c>
      <c r="BW9" s="45">
        <f>IF(tbl利用3[[#This Row],[利用区分]]="","",SUMIFS(tbl利用3[切捨分数],tbl利用3[利用区分],tbl利用3[[#This Row],[利用区分]]))</f>
        <v>30</v>
      </c>
      <c r="BX9" s="45" t="str">
        <f>IF(tbl利用3[[#This Row],[利用区分]]="","",IF(tbl利用3[[#This Row],[区分必要切捨分数]]=tbl利用3[[#This Row],[区分入力切捨合計]],"OK","要確認"))</f>
        <v>OK</v>
      </c>
      <c r="BY9"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
      </c>
      <c r="BZ9" s="46"/>
    </row>
    <row r="10" spans="1:78" s="1" customFormat="1" ht="28.5" customHeight="1" x14ac:dyDescent="0.4">
      <c r="A10" s="19">
        <v>3</v>
      </c>
      <c r="B10" s="75">
        <v>46142</v>
      </c>
      <c r="C10" s="76"/>
      <c r="D10" s="76"/>
      <c r="E10" s="76"/>
      <c r="F10" s="34" t="s">
        <v>68</v>
      </c>
      <c r="G10" s="13">
        <v>22</v>
      </c>
      <c r="H10" s="22" t="s">
        <v>8</v>
      </c>
      <c r="I10" s="14">
        <v>0</v>
      </c>
      <c r="J10" s="22" t="s">
        <v>9</v>
      </c>
      <c r="K10" s="14">
        <v>24</v>
      </c>
      <c r="L10" s="22" t="s">
        <v>8</v>
      </c>
      <c r="M10" s="14">
        <v>30</v>
      </c>
      <c r="N10" s="2">
        <f t="shared" si="3"/>
        <v>2</v>
      </c>
      <c r="O10" s="22" t="s">
        <v>10</v>
      </c>
      <c r="P10" s="22">
        <f>IF(OR(ISBLANK(G10),ISBLANK(I10),ISBLANK(K10),ISBLANK(M10)),"",IF(N10="エラー","エラー",IF(M10-I10&lt;0,M10-I10+60,M10-I10)))</f>
        <v>30</v>
      </c>
      <c r="Q10" s="3" t="s">
        <v>11</v>
      </c>
      <c r="R10" s="79">
        <v>8750</v>
      </c>
      <c r="S10" s="80"/>
      <c r="T10" s="4" t="s">
        <v>12</v>
      </c>
      <c r="U10" s="79">
        <v>1500</v>
      </c>
      <c r="V10" s="80"/>
      <c r="W10" s="4" t="s">
        <v>12</v>
      </c>
      <c r="X10" s="80">
        <v>0</v>
      </c>
      <c r="Y10" s="81"/>
      <c r="Z10" s="4" t="s">
        <v>12</v>
      </c>
      <c r="AB10" s="5">
        <f t="shared" si="5"/>
        <v>22</v>
      </c>
      <c r="AC10" s="20" t="s">
        <v>8</v>
      </c>
      <c r="AD10" s="6">
        <f t="shared" si="0"/>
        <v>0</v>
      </c>
      <c r="AE10" s="20" t="s">
        <v>9</v>
      </c>
      <c r="AF10" s="6">
        <f t="shared" si="6"/>
        <v>22</v>
      </c>
      <c r="AG10" s="20" t="s">
        <v>8</v>
      </c>
      <c r="AH10" s="6">
        <f t="shared" si="7"/>
        <v>0</v>
      </c>
      <c r="AI10" s="7">
        <f t="shared" si="8"/>
        <v>0</v>
      </c>
      <c r="AJ10" s="20" t="s">
        <v>10</v>
      </c>
      <c r="AK10" s="8">
        <f t="shared" si="9"/>
        <v>0</v>
      </c>
      <c r="AL10" s="9" t="s">
        <v>11</v>
      </c>
      <c r="AM10" s="7">
        <f t="shared" si="10"/>
        <v>2</v>
      </c>
      <c r="AN10" s="20" t="s">
        <v>10</v>
      </c>
      <c r="AO10" s="8">
        <f t="shared" si="11"/>
        <v>30</v>
      </c>
      <c r="AP10" s="10" t="s">
        <v>11</v>
      </c>
      <c r="AQ10" s="15" cm="1">
        <f t="array" ref="AQ10">IF(tbl利用3[[#This Row],[利用日]]="","",ROW()-ROW(tbl利用3[#Headers]))</f>
        <v>3</v>
      </c>
      <c r="AR10" s="32">
        <f t="shared" si="12"/>
        <v>46142</v>
      </c>
      <c r="AS10" s="15"/>
      <c r="AT10" s="43" t="str">
        <f t="shared" si="13"/>
        <v>利用区分２</v>
      </c>
      <c r="AU10" s="1">
        <f t="shared" si="14"/>
        <v>2</v>
      </c>
      <c r="AV10" s="1">
        <f t="shared" si="15"/>
        <v>30</v>
      </c>
      <c r="AW10" s="1">
        <f>IF(tbl利用3[[#This Row],[利用日]]="","",N(tbl利用3[[#This Row],[利用時間_時]])*60+N(tbl利用3[[#This Row],[利用時間_分]]))</f>
        <v>150</v>
      </c>
      <c r="AX10" s="44">
        <f t="shared" si="16"/>
        <v>8750</v>
      </c>
      <c r="AY10" s="44">
        <f t="shared" si="1"/>
        <v>0</v>
      </c>
      <c r="AZ10" s="45">
        <f>IF(tbl利用3[[#This Row],[利用日]]="","",MAX(0,N(tbl利用3[[#This Row],[割引前利用額]])-N(tbl利用3[[#This Row],[割引額]])))</f>
        <v>8750</v>
      </c>
      <c r="BA10" s="45">
        <f>IF(OR(tbl利用3[[#This Row],[利用日]]="",tbl利用3[[#This Row],[利用分数]]&lt;=0),"",N(tbl利用3[[#This Row],[割引前利用額]])/tbl利用3[[#This Row],[利用分数]]*60)</f>
        <v>3500</v>
      </c>
      <c r="BB10" s="45">
        <f>IF(tbl利用3[[#This Row],[利用区分]]="","",_xlfn.XLOOKUP(tbl利用3[[#This Row],[利用区分]],$AQ$4:$AQ$5,$AR$4:$AR$5,"区分未登録"))</f>
        <v>3500</v>
      </c>
      <c r="BC10" s="45">
        <f>IF(OR(tbl利用3[[#This Row],[通常時間単価]]="",NOT(ISNUMBER(tbl利用3[[#This Row],[上限単価]]))),"",MIN(tbl利用3[[#This Row],[通常時間単価]],tbl利用3[[#This Row],[上限単価]]))</f>
        <v>3500</v>
      </c>
      <c r="BD10" s="45">
        <f>IF(tbl利用3[[#This Row],[利用日]]="","",tbl利用3[[#This Row],[利用分数]]/60*tbl利用3[[#This Row],[基準単価]])</f>
        <v>8750</v>
      </c>
      <c r="BE10" s="69" t="str">
        <f>IF(OR(tbl利用3[[#This Row],[利用日]]="",tbl利用3[[#This Row],[利用区分]]=""),"",TEXT(tbl利用3[[#This Row],[利用日]],"yyyymmdd")&amp;"|"&amp;tbl利用3[[#This Row],[利用区分]])</f>
        <v>20260430|利用区分２</v>
      </c>
      <c r="BF10" s="45">
        <f>IF(tbl利用3[[#This Row],[日別区分キー]]="","",SUMIFS(tbl利用3[明細実支出額],tbl利用3[日別区分キー],tbl利用3[[#This Row],[日別区分キー]]))</f>
        <v>8750</v>
      </c>
      <c r="BG10" s="45">
        <f>IF(tbl利用3[[#This Row],[日別区分キー]]="","",SUMIFS(tbl利用3[処理前明細基準額],tbl利用3[日別区分キー],tbl利用3[[#This Row],[日別区分キー]]))</f>
        <v>8750</v>
      </c>
      <c r="BH10" s="45">
        <f>IF(tbl利用3[[#This Row],[日別区分キー]]="","",ROUNDDOWN(MIN(tbl利用3[[#This Row],[日別区分実支出額]],tbl利用3[[#This Row],[日別区分処理前基準額]]),0))</f>
        <v>8750</v>
      </c>
      <c r="BI10" s="45">
        <f>IF(tbl利用3[[#This Row],[日別区分キー]]="","",MAX(0,tbl利用3[[#This Row],[日別区分処理前基準額]]-tbl利用3[[#This Row],[日別区分実支出額]]))</f>
        <v>0</v>
      </c>
      <c r="BJ10" s="45">
        <f>IF(OR(tbl利用3[[#This Row],[利用日]]="",tbl利用3[[#This Row],[基準単価]]&lt;=0),0,MIN(tbl利用3[[#This Row],[利用分数]],ROUNDDOWN(tbl利用3[[#This Row],[日別区分余裕額]]/(tbl利用3[[#This Row],[基準単価]]/60),0)))</f>
        <v>0</v>
      </c>
      <c r="BK10" s="50">
        <v>30</v>
      </c>
      <c r="BL10" s="71" t="str">
        <f t="shared" si="2"/>
        <v>利用区分２</v>
      </c>
      <c r="BM10" s="45">
        <f>IF(tbl利用3[[#This Row],[利用日]]="","",MAX(0,tbl利用3[[#This Row],[利用分数]]-N(tbl利用3[[#This Row],[切捨分数]])))</f>
        <v>120</v>
      </c>
      <c r="BN10" s="45">
        <f>IF(tbl利用3[[#This Row],[利用日]]="","",tbl利用3[[#This Row],[処理後利用分数]]/60*tbl利用3[[#This Row],[基準単価]])</f>
        <v>7000</v>
      </c>
      <c r="BO10" s="45">
        <f>IF(tbl利用3[[#This Row],[日別区分キー]]="","",SUMIFS(tbl利用3[処理後明細基準額],tbl利用3[日別区分キー],tbl利用3[[#This Row],[日別区分キー]]))</f>
        <v>7000</v>
      </c>
      <c r="BP10" s="45">
        <f>IF(tbl利用3[[#This Row],[日別区分キー]]="","",ROUNDDOWN(MIN(tbl利用3[[#This Row],[日別区分実支出額]],tbl利用3[[#This Row],[日別区分処理後基準額]]),0))</f>
        <v>7000</v>
      </c>
      <c r="BQ10" s="45">
        <f>IF(tbl利用3[[#This Row],[日別区分キー]]="","",tbl利用3[[#This Row],[日別区分処理前補助額]]-tbl利用3[[#This Row],[日別区分補助額]])</f>
        <v>1750</v>
      </c>
      <c r="BR10" s="45">
        <f>IF(OR(tbl利用3[[#This Row],[日別区分キー]]="",tbl利用3[[#This Row],[処理後利用分数]]&lt;=0),"",ROUNDDOWN(MIN(tbl利用3[[#This Row],[日別区分実支出額]],tbl利用3[[#This Row],[日別区分処理後基準額]]-tbl利用3[[#This Row],[基準単価]]/60),0))</f>
        <v>6941</v>
      </c>
      <c r="BS10" s="52">
        <f>IF(tbl利用3[[#This Row],[次の1分切捨時補助額]]="","",tbl利用3[[#This Row],[日別区分補助額]]-tbl利用3[[#This Row],[次の1分切捨時補助額]])</f>
        <v>59</v>
      </c>
      <c r="BT10" s="45">
        <f>IF(tbl利用3[[#This Row],[日別区分キー]]="","",--(COUNTIF(INDEX(tbl利用3[日別区分キー],1):tbl利用3[[#This Row],[日別区分キー]],tbl利用3[[#This Row],[日別区分キー]])=1))</f>
        <v>1</v>
      </c>
      <c r="BU10" s="45">
        <f>IF(tbl利用3[[#This Row],[利用区分]]="","",SUMIFS(tbl利用3[利用分数],tbl利用3[利用区分],tbl利用3[[#This Row],[利用区分]]))</f>
        <v>165</v>
      </c>
      <c r="BV10" s="45">
        <f>IF(tbl利用3[[#This Row],[利用区分]]="","",MOD(tbl利用3[[#This Row],[区分総利用分数]],60))</f>
        <v>45</v>
      </c>
      <c r="BW10" s="45">
        <f>IF(tbl利用3[[#This Row],[利用区分]]="","",SUMIFS(tbl利用3[切捨分数],tbl利用3[利用区分],tbl利用3[[#This Row],[利用区分]]))</f>
        <v>45</v>
      </c>
      <c r="BX10" s="45" t="str">
        <f>IF(tbl利用3[[#This Row],[利用区分]]="","",IF(tbl利用3[[#This Row],[区分必要切捨分数]]=tbl利用3[[#This Row],[区分入力切捨合計]],"OK","要確認"))</f>
        <v>OK</v>
      </c>
      <c r="BY10"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
      </c>
      <c r="BZ10" s="46"/>
    </row>
    <row r="11" spans="1:78" s="1" customFormat="1" ht="28.5" customHeight="1" x14ac:dyDescent="0.4">
      <c r="A11" s="19">
        <v>4</v>
      </c>
      <c r="B11" s="75">
        <v>46147</v>
      </c>
      <c r="C11" s="76"/>
      <c r="D11" s="76"/>
      <c r="E11" s="76"/>
      <c r="F11" s="34" t="s">
        <v>67</v>
      </c>
      <c r="G11" s="13">
        <v>14</v>
      </c>
      <c r="H11" s="22" t="s">
        <v>8</v>
      </c>
      <c r="I11" s="14">
        <v>0</v>
      </c>
      <c r="J11" s="22" t="s">
        <v>9</v>
      </c>
      <c r="K11" s="14">
        <v>17</v>
      </c>
      <c r="L11" s="22" t="s">
        <v>8</v>
      </c>
      <c r="M11" s="14">
        <v>0</v>
      </c>
      <c r="N11" s="2">
        <f t="shared" si="3"/>
        <v>3</v>
      </c>
      <c r="O11" s="22" t="s">
        <v>10</v>
      </c>
      <c r="P11" s="22">
        <f t="shared" ref="P11:P42" si="17">IF(OR(ISBLANK(G11),ISBLANK(I11),ISBLANK(K11),ISBLANK(M11)),"",IF(N11="エラー","エラー",IF(M11-I11&lt;0,M11-I11+60,M11-I11)))</f>
        <v>0</v>
      </c>
      <c r="Q11" s="3" t="s">
        <v>11</v>
      </c>
      <c r="R11" s="79">
        <v>8000</v>
      </c>
      <c r="S11" s="80"/>
      <c r="T11" s="4" t="s">
        <v>12</v>
      </c>
      <c r="U11" s="79">
        <v>830</v>
      </c>
      <c r="V11" s="80"/>
      <c r="W11" s="4" t="s">
        <v>12</v>
      </c>
      <c r="X11" s="80">
        <v>500</v>
      </c>
      <c r="Y11" s="81"/>
      <c r="Z11" s="4" t="s">
        <v>12</v>
      </c>
      <c r="AA11" s="15"/>
      <c r="AB11" s="5">
        <f t="shared" si="5"/>
        <v>14</v>
      </c>
      <c r="AC11" s="20" t="s">
        <v>8</v>
      </c>
      <c r="AD11" s="6">
        <f t="shared" si="0"/>
        <v>0</v>
      </c>
      <c r="AE11" s="20" t="s">
        <v>9</v>
      </c>
      <c r="AF11" s="6">
        <f>IF(AB11="","",IF(G11&gt;22,"",IF(K11&gt;22,22,IF(K11&lt;7,0,K11))))</f>
        <v>17</v>
      </c>
      <c r="AG11" s="20" t="s">
        <v>8</v>
      </c>
      <c r="AH11" s="6">
        <f t="shared" si="7"/>
        <v>0</v>
      </c>
      <c r="AI11" s="7">
        <f t="shared" si="8"/>
        <v>3</v>
      </c>
      <c r="AJ11" s="20" t="s">
        <v>10</v>
      </c>
      <c r="AK11" s="8">
        <f t="shared" si="9"/>
        <v>0</v>
      </c>
      <c r="AL11" s="9" t="s">
        <v>11</v>
      </c>
      <c r="AM11" s="7">
        <f t="shared" si="10"/>
        <v>0</v>
      </c>
      <c r="AN11" s="20" t="s">
        <v>10</v>
      </c>
      <c r="AO11" s="8">
        <f t="shared" si="11"/>
        <v>0</v>
      </c>
      <c r="AP11" s="10" t="s">
        <v>11</v>
      </c>
      <c r="AQ11" s="15" cm="1">
        <f t="array" ref="AQ11">IF(tbl利用3[[#This Row],[利用日]]="","",ROW()-ROW(tbl利用3[#Headers]))</f>
        <v>4</v>
      </c>
      <c r="AR11" s="32">
        <f t="shared" si="12"/>
        <v>46147</v>
      </c>
      <c r="AS11" s="15"/>
      <c r="AT11" s="43" t="str">
        <f t="shared" si="13"/>
        <v>利用区分１</v>
      </c>
      <c r="AU11" s="1">
        <f t="shared" si="14"/>
        <v>3</v>
      </c>
      <c r="AV11" s="1">
        <f t="shared" si="15"/>
        <v>0</v>
      </c>
      <c r="AW11" s="1">
        <f>IF(tbl利用3[[#This Row],[利用日]]="","",N(tbl利用3[[#This Row],[利用時間_時]])*60+N(tbl利用3[[#This Row],[利用時間_分]]))</f>
        <v>180</v>
      </c>
      <c r="AX11" s="44">
        <f t="shared" si="16"/>
        <v>8000</v>
      </c>
      <c r="AY11" s="44">
        <f t="shared" si="1"/>
        <v>500</v>
      </c>
      <c r="AZ11" s="45">
        <f>IF(tbl利用3[[#This Row],[利用日]]="","",MAX(0,N(tbl利用3[[#This Row],[割引前利用額]])-N(tbl利用3[[#This Row],[割引額]])))</f>
        <v>7500</v>
      </c>
      <c r="BA11" s="45">
        <f>IF(OR(tbl利用3[[#This Row],[利用日]]="",tbl利用3[[#This Row],[利用分数]]&lt;=0),"",N(tbl利用3[[#This Row],[割引前利用額]])/tbl利用3[[#This Row],[利用分数]]*60)</f>
        <v>2666.6666666666665</v>
      </c>
      <c r="BB11" s="45">
        <f>IF(tbl利用3[[#This Row],[利用区分]]="","",_xlfn.XLOOKUP(tbl利用3[[#This Row],[利用区分]],$AQ$4:$AQ$5,$AR$4:$AR$5,"区分未登録"))</f>
        <v>2500</v>
      </c>
      <c r="BC11" s="45">
        <f>IF(OR(tbl利用3[[#This Row],[通常時間単価]]="",NOT(ISNUMBER(tbl利用3[[#This Row],[上限単価]]))),"",MIN(tbl利用3[[#This Row],[通常時間単価]],tbl利用3[[#This Row],[上限単価]]))</f>
        <v>2500</v>
      </c>
      <c r="BD11" s="45">
        <f>IF(tbl利用3[[#This Row],[利用日]]="","",tbl利用3[[#This Row],[利用分数]]/60*tbl利用3[[#This Row],[基準単価]])</f>
        <v>7500</v>
      </c>
      <c r="BE11" s="69" t="str">
        <f>IF(OR(tbl利用3[[#This Row],[利用日]]="",tbl利用3[[#This Row],[利用区分]]=""),"",TEXT(tbl利用3[[#This Row],[利用日]],"yyyymmdd")&amp;"|"&amp;tbl利用3[[#This Row],[利用区分]])</f>
        <v>20260505|利用区分１</v>
      </c>
      <c r="BF11" s="45">
        <f>IF(tbl利用3[[#This Row],[日別区分キー]]="","",SUMIFS(tbl利用3[明細実支出額],tbl利用3[日別区分キー],tbl利用3[[#This Row],[日別区分キー]]))</f>
        <v>7500</v>
      </c>
      <c r="BG11" s="45">
        <f>IF(tbl利用3[[#This Row],[日別区分キー]]="","",SUMIFS(tbl利用3[処理前明細基準額],tbl利用3[日別区分キー],tbl利用3[[#This Row],[日別区分キー]]))</f>
        <v>7500</v>
      </c>
      <c r="BH11" s="45">
        <f>IF(tbl利用3[[#This Row],[日別区分キー]]="","",ROUNDDOWN(MIN(tbl利用3[[#This Row],[日別区分実支出額]],tbl利用3[[#This Row],[日別区分処理前基準額]]),0))</f>
        <v>7500</v>
      </c>
      <c r="BI11" s="45">
        <f>IF(tbl利用3[[#This Row],[日別区分キー]]="","",MAX(0,tbl利用3[[#This Row],[日別区分処理前基準額]]-tbl利用3[[#This Row],[日別区分実支出額]]))</f>
        <v>0</v>
      </c>
      <c r="BJ11" s="45">
        <f>IF(OR(tbl利用3[[#This Row],[利用日]]="",tbl利用3[[#This Row],[基準単価]]&lt;=0),0,MIN(tbl利用3[[#This Row],[利用分数]],ROUNDDOWN(tbl利用3[[#This Row],[日別区分余裕額]]/(tbl利用3[[#This Row],[基準単価]]/60),0)))</f>
        <v>0</v>
      </c>
      <c r="BK11" s="50"/>
      <c r="BL11" s="71" t="str">
        <f t="shared" si="2"/>
        <v>利用区分１</v>
      </c>
      <c r="BM11" s="45">
        <f>IF(tbl利用3[[#This Row],[利用日]]="","",MAX(0,tbl利用3[[#This Row],[利用分数]]-N(tbl利用3[[#This Row],[切捨分数]])))</f>
        <v>180</v>
      </c>
      <c r="BN11" s="45">
        <f>IF(tbl利用3[[#This Row],[利用日]]="","",tbl利用3[[#This Row],[処理後利用分数]]/60*tbl利用3[[#This Row],[基準単価]])</f>
        <v>7500</v>
      </c>
      <c r="BO11" s="45">
        <f>IF(tbl利用3[[#This Row],[日別区分キー]]="","",SUMIFS(tbl利用3[処理後明細基準額],tbl利用3[日別区分キー],tbl利用3[[#This Row],[日別区分キー]]))</f>
        <v>7500</v>
      </c>
      <c r="BP11" s="45">
        <f>IF(tbl利用3[[#This Row],[日別区分キー]]="","",ROUNDDOWN(MIN(tbl利用3[[#This Row],[日別区分実支出額]],tbl利用3[[#This Row],[日別区分処理後基準額]]),0))</f>
        <v>7500</v>
      </c>
      <c r="BQ11" s="45">
        <f>IF(tbl利用3[[#This Row],[日別区分キー]]="","",tbl利用3[[#This Row],[日別区分処理前補助額]]-tbl利用3[[#This Row],[日別区分補助額]])</f>
        <v>0</v>
      </c>
      <c r="BR11" s="45">
        <f>IF(OR(tbl利用3[[#This Row],[日別区分キー]]="",tbl利用3[[#This Row],[処理後利用分数]]&lt;=0),"",ROUNDDOWN(MIN(tbl利用3[[#This Row],[日別区分実支出額]],tbl利用3[[#This Row],[日別区分処理後基準額]]-tbl利用3[[#This Row],[基準単価]]/60),0))</f>
        <v>7458</v>
      </c>
      <c r="BS11" s="52">
        <f>IF(tbl利用3[[#This Row],[次の1分切捨時補助額]]="","",tbl利用3[[#This Row],[日別区分補助額]]-tbl利用3[[#This Row],[次の1分切捨時補助額]])</f>
        <v>42</v>
      </c>
      <c r="BT11" s="45">
        <f>IF(tbl利用3[[#This Row],[日別区分キー]]="","",--(COUNTIF(INDEX(tbl利用3[日別区分キー],1):tbl利用3[[#This Row],[日別区分キー]],tbl利用3[[#This Row],[日別区分キー]])=1))</f>
        <v>1</v>
      </c>
      <c r="BU11" s="45">
        <f>IF(tbl利用3[[#This Row],[利用区分]]="","",SUMIFS(tbl利用3[利用分数],tbl利用3[利用区分],tbl利用3[[#This Row],[利用区分]]))</f>
        <v>1470</v>
      </c>
      <c r="BV11" s="45">
        <f>IF(tbl利用3[[#This Row],[利用区分]]="","",MOD(tbl利用3[[#This Row],[区分総利用分数]],60))</f>
        <v>30</v>
      </c>
      <c r="BW11" s="45">
        <f>IF(tbl利用3[[#This Row],[利用区分]]="","",SUMIFS(tbl利用3[切捨分数],tbl利用3[利用区分],tbl利用3[[#This Row],[利用区分]]))</f>
        <v>30</v>
      </c>
      <c r="BX11" s="45" t="str">
        <f>IF(tbl利用3[[#This Row],[利用区分]]="","",IF(tbl利用3[[#This Row],[区分必要切捨分数]]=tbl利用3[[#This Row],[区分入力切捨合計]],"OK","要確認"))</f>
        <v>OK</v>
      </c>
      <c r="BY11"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
      </c>
      <c r="BZ11" s="46"/>
    </row>
    <row r="12" spans="1:78" s="1" customFormat="1" ht="28.5" customHeight="1" x14ac:dyDescent="0.4">
      <c r="A12" s="19">
        <v>5</v>
      </c>
      <c r="B12" s="75">
        <v>46148</v>
      </c>
      <c r="C12" s="76"/>
      <c r="D12" s="76"/>
      <c r="E12" s="76"/>
      <c r="F12" s="34" t="s">
        <v>67</v>
      </c>
      <c r="G12" s="13">
        <v>19</v>
      </c>
      <c r="H12" s="22" t="s">
        <v>8</v>
      </c>
      <c r="I12" s="14">
        <v>0</v>
      </c>
      <c r="J12" s="22" t="s">
        <v>9</v>
      </c>
      <c r="K12" s="14">
        <v>20</v>
      </c>
      <c r="L12" s="22" t="s">
        <v>8</v>
      </c>
      <c r="M12" s="14">
        <v>0</v>
      </c>
      <c r="N12" s="2">
        <f t="shared" si="3"/>
        <v>1</v>
      </c>
      <c r="O12" s="22" t="s">
        <v>10</v>
      </c>
      <c r="P12" s="22">
        <f t="shared" si="17"/>
        <v>0</v>
      </c>
      <c r="Q12" s="3" t="s">
        <v>11</v>
      </c>
      <c r="R12" s="79">
        <v>2600</v>
      </c>
      <c r="S12" s="80"/>
      <c r="T12" s="4" t="s">
        <v>12</v>
      </c>
      <c r="U12" s="79">
        <v>830</v>
      </c>
      <c r="V12" s="80"/>
      <c r="W12" s="4" t="s">
        <v>12</v>
      </c>
      <c r="X12" s="80">
        <v>0</v>
      </c>
      <c r="Y12" s="81"/>
      <c r="Z12" s="4" t="s">
        <v>12</v>
      </c>
      <c r="AA12" s="15"/>
      <c r="AB12" s="5">
        <f t="shared" si="5"/>
        <v>19</v>
      </c>
      <c r="AC12" s="20" t="s">
        <v>8</v>
      </c>
      <c r="AD12" s="6">
        <f>IF(AB12="","",IF(G12&gt;21,0,IF(G12&lt;7,0,I12)))</f>
        <v>0</v>
      </c>
      <c r="AE12" s="20" t="s">
        <v>9</v>
      </c>
      <c r="AF12" s="6">
        <f>IF(AB12="","",IF(G12&gt;22,"",IF(K12&gt;22,22,IF(K12&lt;7,0,K12))))</f>
        <v>20</v>
      </c>
      <c r="AG12" s="20" t="s">
        <v>8</v>
      </c>
      <c r="AH12" s="6">
        <f t="shared" si="7"/>
        <v>0</v>
      </c>
      <c r="AI12" s="7">
        <f>IFERROR(IF(OR(ISBLANK(AB12),ISBLANK(AD12),ISBLANK(AF12),ISBLANK(AH12)),"",IF(AH12-AD12&lt;0,AF12-AB12-1,AF12-AB12)),"")</f>
        <v>1</v>
      </c>
      <c r="AJ12" s="20" t="s">
        <v>10</v>
      </c>
      <c r="AK12" s="8">
        <f t="shared" si="9"/>
        <v>0</v>
      </c>
      <c r="AL12" s="9" t="s">
        <v>11</v>
      </c>
      <c r="AM12" s="7">
        <f t="shared" si="10"/>
        <v>0</v>
      </c>
      <c r="AN12" s="20" t="s">
        <v>10</v>
      </c>
      <c r="AO12" s="8">
        <f t="shared" si="11"/>
        <v>0</v>
      </c>
      <c r="AP12" s="10" t="s">
        <v>11</v>
      </c>
      <c r="AQ12" s="15" cm="1">
        <f t="array" ref="AQ12">IF(tbl利用3[[#This Row],[利用日]]="","",ROW()-ROW(tbl利用3[#Headers]))</f>
        <v>5</v>
      </c>
      <c r="AR12" s="32">
        <f t="shared" si="12"/>
        <v>46148</v>
      </c>
      <c r="AS12" s="15"/>
      <c r="AT12" s="43" t="str">
        <f t="shared" si="13"/>
        <v>利用区分１</v>
      </c>
      <c r="AU12" s="1">
        <f t="shared" si="14"/>
        <v>1</v>
      </c>
      <c r="AV12" s="1">
        <f t="shared" si="15"/>
        <v>0</v>
      </c>
      <c r="AW12" s="1">
        <f>IF(tbl利用3[[#This Row],[利用日]]="","",N(tbl利用3[[#This Row],[利用時間_時]])*60+N(tbl利用3[[#This Row],[利用時間_分]]))</f>
        <v>60</v>
      </c>
      <c r="AX12" s="44">
        <f t="shared" si="16"/>
        <v>2600</v>
      </c>
      <c r="AY12" s="44">
        <f t="shared" si="1"/>
        <v>0</v>
      </c>
      <c r="AZ12" s="45">
        <f>IF(tbl利用3[[#This Row],[利用日]]="","",MAX(0,N(tbl利用3[[#This Row],[割引前利用額]])-N(tbl利用3[[#This Row],[割引額]])))</f>
        <v>2600</v>
      </c>
      <c r="BA12" s="45">
        <f>IF(OR(tbl利用3[[#This Row],[利用日]]="",tbl利用3[[#This Row],[利用分数]]&lt;=0),"",N(tbl利用3[[#This Row],[割引前利用額]])/tbl利用3[[#This Row],[利用分数]]*60)</f>
        <v>2600</v>
      </c>
      <c r="BB12" s="45">
        <f>IF(tbl利用3[[#This Row],[利用区分]]="","",_xlfn.XLOOKUP(tbl利用3[[#This Row],[利用区分]],$AQ$4:$AQ$5,$AR$4:$AR$5,"区分未登録"))</f>
        <v>2500</v>
      </c>
      <c r="BC12" s="45">
        <f>IF(OR(tbl利用3[[#This Row],[通常時間単価]]="",NOT(ISNUMBER(tbl利用3[[#This Row],[上限単価]]))),"",MIN(tbl利用3[[#This Row],[通常時間単価]],tbl利用3[[#This Row],[上限単価]]))</f>
        <v>2500</v>
      </c>
      <c r="BD12" s="45">
        <f>IF(tbl利用3[[#This Row],[利用日]]="","",tbl利用3[[#This Row],[利用分数]]/60*tbl利用3[[#This Row],[基準単価]])</f>
        <v>2500</v>
      </c>
      <c r="BE12" s="69" t="str">
        <f>IF(OR(tbl利用3[[#This Row],[利用日]]="",tbl利用3[[#This Row],[利用区分]]=""),"",TEXT(tbl利用3[[#This Row],[利用日]],"yyyymmdd")&amp;"|"&amp;tbl利用3[[#This Row],[利用区分]])</f>
        <v>20260506|利用区分１</v>
      </c>
      <c r="BF12" s="45">
        <f>IF(tbl利用3[[#This Row],[日別区分キー]]="","",SUMIFS(tbl利用3[明細実支出額],tbl利用3[日別区分キー],tbl利用3[[#This Row],[日別区分キー]]))</f>
        <v>6800</v>
      </c>
      <c r="BG12" s="45">
        <f>IF(tbl利用3[[#This Row],[日別区分キー]]="","",SUMIFS(tbl利用3[処理前明細基準額],tbl利用3[日別区分キー],tbl利用3[[#This Row],[日別区分キー]]))</f>
        <v>7500</v>
      </c>
      <c r="BH12" s="45">
        <f>IF(tbl利用3[[#This Row],[日別区分キー]]="","",ROUNDDOWN(MIN(tbl利用3[[#This Row],[日別区分実支出額]],tbl利用3[[#This Row],[日別区分処理前基準額]]),0))</f>
        <v>6800</v>
      </c>
      <c r="BI12" s="45">
        <f>IF(tbl利用3[[#This Row],[日別区分キー]]="","",MAX(0,tbl利用3[[#This Row],[日別区分処理前基準額]]-tbl利用3[[#This Row],[日別区分実支出額]]))</f>
        <v>700</v>
      </c>
      <c r="BJ12" s="45">
        <f>IF(OR(tbl利用3[[#This Row],[利用日]]="",tbl利用3[[#This Row],[基準単価]]&lt;=0),0,MIN(tbl利用3[[#This Row],[利用分数]],ROUNDDOWN(tbl利用3[[#This Row],[日別区分余裕額]]/(tbl利用3[[#This Row],[基準単価]]/60),0)))</f>
        <v>16</v>
      </c>
      <c r="BK12" s="50">
        <v>0</v>
      </c>
      <c r="BL12" s="71" t="str">
        <f t="shared" si="2"/>
        <v>利用区分１</v>
      </c>
      <c r="BM12" s="45">
        <f>IF(tbl利用3[[#This Row],[利用日]]="","",MAX(0,tbl利用3[[#This Row],[利用分数]]-N(tbl利用3[[#This Row],[切捨分数]])))</f>
        <v>60</v>
      </c>
      <c r="BN12" s="45">
        <f>IF(tbl利用3[[#This Row],[利用日]]="","",tbl利用3[[#This Row],[処理後利用分数]]/60*tbl利用3[[#This Row],[基準単価]])</f>
        <v>2500</v>
      </c>
      <c r="BO12" s="45">
        <f>IF(tbl利用3[[#This Row],[日別区分キー]]="","",SUMIFS(tbl利用3[処理後明細基準額],tbl利用3[日別区分キー],tbl利用3[[#This Row],[日別区分キー]]))</f>
        <v>6875</v>
      </c>
      <c r="BP12" s="45">
        <f>IF(tbl利用3[[#This Row],[日別区分キー]]="","",ROUNDDOWN(MIN(tbl利用3[[#This Row],[日別区分実支出額]],tbl利用3[[#This Row],[日別区分処理後基準額]]),0))</f>
        <v>6800</v>
      </c>
      <c r="BQ12" s="45">
        <f>IF(tbl利用3[[#This Row],[日別区分キー]]="","",tbl利用3[[#This Row],[日別区分処理前補助額]]-tbl利用3[[#This Row],[日別区分補助額]])</f>
        <v>0</v>
      </c>
      <c r="BR12" s="45">
        <f>IF(OR(tbl利用3[[#This Row],[日別区分キー]]="",tbl利用3[[#This Row],[処理後利用分数]]&lt;=0),"",ROUNDDOWN(MIN(tbl利用3[[#This Row],[日別区分実支出額]],tbl利用3[[#This Row],[日別区分処理後基準額]]-tbl利用3[[#This Row],[基準単価]]/60),0))</f>
        <v>6800</v>
      </c>
      <c r="BS12" s="52">
        <f>IF(tbl利用3[[#This Row],[次の1分切捨時補助額]]="","",tbl利用3[[#This Row],[日別区分補助額]]-tbl利用3[[#This Row],[次の1分切捨時補助額]])</f>
        <v>0</v>
      </c>
      <c r="BT12" s="45">
        <f>IF(tbl利用3[[#This Row],[日別区分キー]]="","",--(COUNTIF(INDEX(tbl利用3[日別区分キー],1):tbl利用3[[#This Row],[日別区分キー]],tbl利用3[[#This Row],[日別区分キー]])=1))</f>
        <v>1</v>
      </c>
      <c r="BU12" s="45">
        <f>IF(tbl利用3[[#This Row],[利用区分]]="","",SUMIFS(tbl利用3[利用分数],tbl利用3[利用区分],tbl利用3[[#This Row],[利用区分]]))</f>
        <v>1470</v>
      </c>
      <c r="BV12" s="45">
        <f>IF(tbl利用3[[#This Row],[利用区分]]="","",MOD(tbl利用3[[#This Row],[区分総利用分数]],60))</f>
        <v>30</v>
      </c>
      <c r="BW12" s="45">
        <f>IF(tbl利用3[[#This Row],[利用区分]]="","",SUMIFS(tbl利用3[切捨分数],tbl利用3[利用区分],tbl利用3[[#This Row],[利用区分]]))</f>
        <v>30</v>
      </c>
      <c r="BX12" s="45" t="str">
        <f>IF(tbl利用3[[#This Row],[利用区分]]="","",IF(tbl利用3[[#This Row],[区分必要切捨分数]]=tbl利用3[[#This Row],[区分入力切捨合計]],"OK","要確認"))</f>
        <v>OK</v>
      </c>
      <c r="BY12"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
      </c>
      <c r="BZ12" s="46"/>
    </row>
    <row r="13" spans="1:78" s="1" customFormat="1" ht="28.5" customHeight="1" x14ac:dyDescent="0.4">
      <c r="A13" s="19">
        <v>6</v>
      </c>
      <c r="B13" s="75">
        <v>46148</v>
      </c>
      <c r="C13" s="76"/>
      <c r="D13" s="76"/>
      <c r="E13" s="76"/>
      <c r="F13" s="34" t="s">
        <v>67</v>
      </c>
      <c r="G13" s="13">
        <v>20</v>
      </c>
      <c r="H13" s="22" t="s">
        <v>8</v>
      </c>
      <c r="I13" s="14">
        <v>0</v>
      </c>
      <c r="J13" s="22" t="s">
        <v>9</v>
      </c>
      <c r="K13" s="14">
        <v>22</v>
      </c>
      <c r="L13" s="22" t="s">
        <v>8</v>
      </c>
      <c r="M13" s="14">
        <v>0</v>
      </c>
      <c r="N13" s="2">
        <f t="shared" si="3"/>
        <v>2</v>
      </c>
      <c r="O13" s="22" t="s">
        <v>10</v>
      </c>
      <c r="P13" s="22">
        <f t="shared" si="17"/>
        <v>0</v>
      </c>
      <c r="Q13" s="3" t="s">
        <v>11</v>
      </c>
      <c r="R13" s="79">
        <v>5200</v>
      </c>
      <c r="S13" s="80"/>
      <c r="T13" s="4" t="s">
        <v>12</v>
      </c>
      <c r="U13" s="79">
        <v>0</v>
      </c>
      <c r="V13" s="80"/>
      <c r="W13" s="4" t="s">
        <v>12</v>
      </c>
      <c r="X13" s="80">
        <v>1000</v>
      </c>
      <c r="Y13" s="81"/>
      <c r="Z13" s="4" t="s">
        <v>12</v>
      </c>
      <c r="AA13" s="15"/>
      <c r="AB13" s="5">
        <f t="shared" si="5"/>
        <v>20</v>
      </c>
      <c r="AC13" s="20" t="s">
        <v>8</v>
      </c>
      <c r="AD13" s="6">
        <f t="shared" ref="AD13:AD42" si="18">IF(AB13="","",IF(G13&gt;21,0,IF(G13&lt;7,0,I13)))</f>
        <v>0</v>
      </c>
      <c r="AE13" s="20" t="s">
        <v>9</v>
      </c>
      <c r="AF13" s="6">
        <f t="shared" ref="AF13:AF42" si="19">IF(AB13="","",IF(G13&gt;22,"",IF(K13&gt;22,22,IF(K13&lt;7,0,K13))))</f>
        <v>22</v>
      </c>
      <c r="AG13" s="20" t="s">
        <v>8</v>
      </c>
      <c r="AH13" s="6">
        <f t="shared" si="7"/>
        <v>0</v>
      </c>
      <c r="AI13" s="7">
        <f t="shared" ref="AI13:AI42" si="20">IFERROR(IF(OR(ISBLANK(AB13),ISBLANK(AD13),ISBLANK(AF13),ISBLANK(AH13)),"",IF(AH13-AD13&lt;0,AF13-AB13-1,AF13-AB13)),"")</f>
        <v>2</v>
      </c>
      <c r="AJ13" s="20" t="s">
        <v>10</v>
      </c>
      <c r="AK13" s="8">
        <f t="shared" si="9"/>
        <v>0</v>
      </c>
      <c r="AL13" s="9" t="s">
        <v>11</v>
      </c>
      <c r="AM13" s="7">
        <f t="shared" si="10"/>
        <v>0</v>
      </c>
      <c r="AN13" s="20" t="s">
        <v>10</v>
      </c>
      <c r="AO13" s="8">
        <f t="shared" si="11"/>
        <v>0</v>
      </c>
      <c r="AP13" s="10" t="s">
        <v>11</v>
      </c>
      <c r="AQ13" s="15" cm="1">
        <f t="array" ref="AQ13">IF(tbl利用3[[#This Row],[利用日]]="","",ROW()-ROW(tbl利用3[#Headers]))</f>
        <v>6</v>
      </c>
      <c r="AR13" s="32">
        <f t="shared" si="12"/>
        <v>46148</v>
      </c>
      <c r="AS13" s="15"/>
      <c r="AT13" s="43" t="str">
        <f>IF(F13="","",F13)</f>
        <v>利用区分１</v>
      </c>
      <c r="AU13" s="1">
        <f t="shared" si="14"/>
        <v>2</v>
      </c>
      <c r="AV13" s="1">
        <f t="shared" si="15"/>
        <v>0</v>
      </c>
      <c r="AW13" s="1">
        <f>IF(tbl利用3[[#This Row],[利用日]]="","",N(tbl利用3[[#This Row],[利用時間_時]])*60+N(tbl利用3[[#This Row],[利用時間_分]]))</f>
        <v>120</v>
      </c>
      <c r="AX13" s="44">
        <f t="shared" si="16"/>
        <v>5200</v>
      </c>
      <c r="AY13" s="44">
        <f t="shared" si="1"/>
        <v>1000</v>
      </c>
      <c r="AZ13" s="45">
        <f>IF(tbl利用3[[#This Row],[利用日]]="","",MAX(0,N(tbl利用3[[#This Row],[割引前利用額]])-N(tbl利用3[[#This Row],[割引額]])))</f>
        <v>4200</v>
      </c>
      <c r="BA13" s="45">
        <f>IF(OR(tbl利用3[[#This Row],[利用日]]="",tbl利用3[[#This Row],[利用分数]]&lt;=0),"",N(tbl利用3[[#This Row],[割引前利用額]])/tbl利用3[[#This Row],[利用分数]]*60)</f>
        <v>2600</v>
      </c>
      <c r="BB13" s="45">
        <f>IF(tbl利用3[[#This Row],[利用区分]]="","",_xlfn.XLOOKUP(tbl利用3[[#This Row],[利用区分]],$AQ$4:$AQ$5,$AR$4:$AR$5,"区分未登録"))</f>
        <v>2500</v>
      </c>
      <c r="BC13" s="45">
        <f>IF(OR(tbl利用3[[#This Row],[通常時間単価]]="",NOT(ISNUMBER(tbl利用3[[#This Row],[上限単価]]))),"",MIN(tbl利用3[[#This Row],[通常時間単価]],tbl利用3[[#This Row],[上限単価]]))</f>
        <v>2500</v>
      </c>
      <c r="BD13" s="45">
        <f>IF(tbl利用3[[#This Row],[利用日]]="","",tbl利用3[[#This Row],[利用分数]]/60*tbl利用3[[#This Row],[基準単価]])</f>
        <v>5000</v>
      </c>
      <c r="BE13" s="69" t="str">
        <f>IF(OR(tbl利用3[[#This Row],[利用日]]="",tbl利用3[[#This Row],[利用区分]]=""),"",TEXT(tbl利用3[[#This Row],[利用日]],"yyyymmdd")&amp;"|"&amp;tbl利用3[[#This Row],[利用区分]])</f>
        <v>20260506|利用区分１</v>
      </c>
      <c r="BF13" s="45">
        <f>IF(tbl利用3[[#This Row],[日別区分キー]]="","",SUMIFS(tbl利用3[明細実支出額],tbl利用3[日別区分キー],tbl利用3[[#This Row],[日別区分キー]]))</f>
        <v>6800</v>
      </c>
      <c r="BG13" s="45">
        <f>IF(tbl利用3[[#This Row],[日別区分キー]]="","",SUMIFS(tbl利用3[処理前明細基準額],tbl利用3[日別区分キー],tbl利用3[[#This Row],[日別区分キー]]))</f>
        <v>7500</v>
      </c>
      <c r="BH13" s="45">
        <f>IF(tbl利用3[[#This Row],[日別区分キー]]="","",ROUNDDOWN(MIN(tbl利用3[[#This Row],[日別区分実支出額]],tbl利用3[[#This Row],[日別区分処理前基準額]]),0))</f>
        <v>6800</v>
      </c>
      <c r="BI13" s="45">
        <f>IF(tbl利用3[[#This Row],[日別区分キー]]="","",MAX(0,tbl利用3[[#This Row],[日別区分処理前基準額]]-tbl利用3[[#This Row],[日別区分実支出額]]))</f>
        <v>700</v>
      </c>
      <c r="BJ13" s="45">
        <f>IF(OR(tbl利用3[[#This Row],[利用日]]="",tbl利用3[[#This Row],[基準単価]]&lt;=0),0,MIN(tbl利用3[[#This Row],[利用分数]],ROUNDDOWN(tbl利用3[[#This Row],[日別区分余裕額]]/(tbl利用3[[#This Row],[基準単価]]/60),0)))</f>
        <v>16</v>
      </c>
      <c r="BK13" s="50">
        <v>15</v>
      </c>
      <c r="BL13" s="71" t="str">
        <f t="shared" si="2"/>
        <v>利用区分１</v>
      </c>
      <c r="BM13" s="45">
        <f>IF(tbl利用3[[#This Row],[利用日]]="","",MAX(0,tbl利用3[[#This Row],[利用分数]]-N(tbl利用3[[#This Row],[切捨分数]])))</f>
        <v>105</v>
      </c>
      <c r="BN13" s="45">
        <f>IF(tbl利用3[[#This Row],[利用日]]="","",tbl利用3[[#This Row],[処理後利用分数]]/60*tbl利用3[[#This Row],[基準単価]])</f>
        <v>4375</v>
      </c>
      <c r="BO13" s="45">
        <f>IF(tbl利用3[[#This Row],[日別区分キー]]="","",SUMIFS(tbl利用3[処理後明細基準額],tbl利用3[日別区分キー],tbl利用3[[#This Row],[日別区分キー]]))</f>
        <v>6875</v>
      </c>
      <c r="BP13" s="45">
        <f>IF(tbl利用3[[#This Row],[日別区分キー]]="","",ROUNDDOWN(MIN(tbl利用3[[#This Row],[日別区分実支出額]],tbl利用3[[#This Row],[日別区分処理後基準額]]),0))</f>
        <v>6800</v>
      </c>
      <c r="BQ13" s="45">
        <f>IF(tbl利用3[[#This Row],[日別区分キー]]="","",tbl利用3[[#This Row],[日別区分処理前補助額]]-tbl利用3[[#This Row],[日別区分補助額]])</f>
        <v>0</v>
      </c>
      <c r="BR13" s="45">
        <f>IF(OR(tbl利用3[[#This Row],[日別区分キー]]="",tbl利用3[[#This Row],[処理後利用分数]]&lt;=0),"",ROUNDDOWN(MIN(tbl利用3[[#This Row],[日別区分実支出額]],tbl利用3[[#This Row],[日別区分処理後基準額]]-tbl利用3[[#This Row],[基準単価]]/60),0))</f>
        <v>6800</v>
      </c>
      <c r="BS13" s="52">
        <f>IF(tbl利用3[[#This Row],[次の1分切捨時補助額]]="","",tbl利用3[[#This Row],[日別区分補助額]]-tbl利用3[[#This Row],[次の1分切捨時補助額]])</f>
        <v>0</v>
      </c>
      <c r="BT13" s="45">
        <f>IF(tbl利用3[[#This Row],[日別区分キー]]="","",--(COUNTIF(INDEX(tbl利用3[日別区分キー],1):tbl利用3[[#This Row],[日別区分キー]],tbl利用3[[#This Row],[日別区分キー]])=1))</f>
        <v>0</v>
      </c>
      <c r="BU13" s="45">
        <f>IF(tbl利用3[[#This Row],[利用区分]]="","",SUMIFS(tbl利用3[利用分数],tbl利用3[利用区分],tbl利用3[[#This Row],[利用区分]]))</f>
        <v>1470</v>
      </c>
      <c r="BV13" s="45">
        <f>IF(tbl利用3[[#This Row],[利用区分]]="","",MOD(tbl利用3[[#This Row],[区分総利用分数]],60))</f>
        <v>30</v>
      </c>
      <c r="BW13" s="45">
        <f>IF(tbl利用3[[#This Row],[利用区分]]="","",SUMIFS(tbl利用3[切捨分数],tbl利用3[利用区分],tbl利用3[[#This Row],[利用区分]]))</f>
        <v>30</v>
      </c>
      <c r="BX13" s="45" t="str">
        <f>IF(tbl利用3[[#This Row],[利用区分]]="","",IF(tbl利用3[[#This Row],[区分必要切捨分数]]=tbl利用3[[#This Row],[区分入力切捨合計]],"OK","要確認"))</f>
        <v>OK</v>
      </c>
      <c r="BY13"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
      </c>
      <c r="BZ13" s="46"/>
    </row>
    <row r="14" spans="1:78" s="1" customFormat="1" ht="28.5" customHeight="1" x14ac:dyDescent="0.4">
      <c r="A14" s="19">
        <v>7</v>
      </c>
      <c r="B14" s="75">
        <v>46171</v>
      </c>
      <c r="C14" s="76"/>
      <c r="D14" s="76"/>
      <c r="E14" s="76"/>
      <c r="F14" s="34" t="s">
        <v>67</v>
      </c>
      <c r="G14" s="13">
        <v>7</v>
      </c>
      <c r="H14" s="22" t="s">
        <v>8</v>
      </c>
      <c r="I14" s="14">
        <v>0</v>
      </c>
      <c r="J14" s="22" t="s">
        <v>9</v>
      </c>
      <c r="K14" s="14">
        <v>9</v>
      </c>
      <c r="L14" s="22" t="s">
        <v>8</v>
      </c>
      <c r="M14" s="14">
        <v>0</v>
      </c>
      <c r="N14" s="2">
        <f t="shared" si="3"/>
        <v>2</v>
      </c>
      <c r="O14" s="22" t="s">
        <v>10</v>
      </c>
      <c r="P14" s="22">
        <f t="shared" si="17"/>
        <v>0</v>
      </c>
      <c r="Q14" s="3" t="s">
        <v>11</v>
      </c>
      <c r="R14" s="79">
        <v>6000</v>
      </c>
      <c r="S14" s="80"/>
      <c r="T14" s="4" t="s">
        <v>12</v>
      </c>
      <c r="U14" s="79">
        <v>830</v>
      </c>
      <c r="V14" s="80"/>
      <c r="W14" s="4" t="s">
        <v>12</v>
      </c>
      <c r="X14" s="80">
        <v>0</v>
      </c>
      <c r="Y14" s="81"/>
      <c r="Z14" s="4" t="s">
        <v>12</v>
      </c>
      <c r="AA14" s="15"/>
      <c r="AB14" s="5">
        <f t="shared" si="5"/>
        <v>7</v>
      </c>
      <c r="AC14" s="20" t="s">
        <v>8</v>
      </c>
      <c r="AD14" s="6">
        <f t="shared" si="18"/>
        <v>0</v>
      </c>
      <c r="AE14" s="20" t="s">
        <v>9</v>
      </c>
      <c r="AF14" s="6">
        <f t="shared" si="19"/>
        <v>9</v>
      </c>
      <c r="AG14" s="20" t="s">
        <v>8</v>
      </c>
      <c r="AH14" s="6">
        <f t="shared" si="7"/>
        <v>0</v>
      </c>
      <c r="AI14" s="7">
        <f t="shared" si="20"/>
        <v>2</v>
      </c>
      <c r="AJ14" s="20" t="s">
        <v>10</v>
      </c>
      <c r="AK14" s="8">
        <f t="shared" si="9"/>
        <v>0</v>
      </c>
      <c r="AL14" s="9" t="s">
        <v>11</v>
      </c>
      <c r="AM14" s="7">
        <f t="shared" si="10"/>
        <v>0</v>
      </c>
      <c r="AN14" s="20" t="s">
        <v>10</v>
      </c>
      <c r="AO14" s="8">
        <f t="shared" si="11"/>
        <v>0</v>
      </c>
      <c r="AP14" s="10" t="s">
        <v>11</v>
      </c>
      <c r="AQ14" s="15" cm="1">
        <f t="array" ref="AQ14">IF(tbl利用3[[#This Row],[利用日]]="","",ROW()-ROW(tbl利用3[#Headers]))</f>
        <v>7</v>
      </c>
      <c r="AR14" s="32">
        <f t="shared" si="12"/>
        <v>46171</v>
      </c>
      <c r="AS14" s="15"/>
      <c r="AT14" s="43" t="str">
        <f t="shared" ref="AT14:AT29" si="21">IF(F14="","",F14)</f>
        <v>利用区分１</v>
      </c>
      <c r="AU14" s="1">
        <f t="shared" si="14"/>
        <v>2</v>
      </c>
      <c r="AV14" s="1">
        <f t="shared" si="15"/>
        <v>0</v>
      </c>
      <c r="AW14" s="1">
        <f>IF(tbl利用3[[#This Row],[利用日]]="","",N(tbl利用3[[#This Row],[利用時間_時]])*60+N(tbl利用3[[#This Row],[利用時間_分]]))</f>
        <v>120</v>
      </c>
      <c r="AX14" s="44">
        <f t="shared" si="16"/>
        <v>6000</v>
      </c>
      <c r="AY14" s="44">
        <f t="shared" si="1"/>
        <v>0</v>
      </c>
      <c r="AZ14" s="45">
        <f>IF(tbl利用3[[#This Row],[利用日]]="","",MAX(0,N(tbl利用3[[#This Row],[割引前利用額]])-N(tbl利用3[[#This Row],[割引額]])))</f>
        <v>6000</v>
      </c>
      <c r="BA14" s="45">
        <f>IF(OR(tbl利用3[[#This Row],[利用日]]="",tbl利用3[[#This Row],[利用分数]]&lt;=0),"",N(tbl利用3[[#This Row],[割引前利用額]])/tbl利用3[[#This Row],[利用分数]]*60)</f>
        <v>3000</v>
      </c>
      <c r="BB14" s="45">
        <f>IF(tbl利用3[[#This Row],[利用区分]]="","",_xlfn.XLOOKUP(tbl利用3[[#This Row],[利用区分]],$AQ$4:$AQ$5,$AR$4:$AR$5,"区分未登録"))</f>
        <v>2500</v>
      </c>
      <c r="BC14" s="45">
        <f>IF(OR(tbl利用3[[#This Row],[通常時間単価]]="",NOT(ISNUMBER(tbl利用3[[#This Row],[上限単価]]))),"",MIN(tbl利用3[[#This Row],[通常時間単価]],tbl利用3[[#This Row],[上限単価]]))</f>
        <v>2500</v>
      </c>
      <c r="BD14" s="45">
        <f>IF(tbl利用3[[#This Row],[利用日]]="","",tbl利用3[[#This Row],[利用分数]]/60*tbl利用3[[#This Row],[基準単価]])</f>
        <v>5000</v>
      </c>
      <c r="BE14" s="69" t="str">
        <f>IF(OR(tbl利用3[[#This Row],[利用日]]="",tbl利用3[[#This Row],[利用区分]]=""),"",TEXT(tbl利用3[[#This Row],[利用日]],"yyyymmdd")&amp;"|"&amp;tbl利用3[[#This Row],[利用区分]])</f>
        <v>20260529|利用区分１</v>
      </c>
      <c r="BF14" s="45">
        <f>IF(tbl利用3[[#This Row],[日別区分キー]]="","",SUMIFS(tbl利用3[明細実支出額],tbl利用3[日別区分キー],tbl利用3[[#This Row],[日別区分キー]]))</f>
        <v>6000</v>
      </c>
      <c r="BG14" s="45">
        <f>IF(tbl利用3[[#This Row],[日別区分キー]]="","",SUMIFS(tbl利用3[処理前明細基準額],tbl利用3[日別区分キー],tbl利用3[[#This Row],[日別区分キー]]))</f>
        <v>5000</v>
      </c>
      <c r="BH14" s="45">
        <f>IF(tbl利用3[[#This Row],[日別区分キー]]="","",ROUNDDOWN(MIN(tbl利用3[[#This Row],[日別区分実支出額]],tbl利用3[[#This Row],[日別区分処理前基準額]]),0))</f>
        <v>5000</v>
      </c>
      <c r="BI14" s="45">
        <f>IF(tbl利用3[[#This Row],[日別区分キー]]="","",MAX(0,tbl利用3[[#This Row],[日別区分処理前基準額]]-tbl利用3[[#This Row],[日別区分実支出額]]))</f>
        <v>0</v>
      </c>
      <c r="BJ14" s="45">
        <f>IF(OR(tbl利用3[[#This Row],[利用日]]="",tbl利用3[[#This Row],[基準単価]]&lt;=0),0,MIN(tbl利用3[[#This Row],[利用分数]],ROUNDDOWN(tbl利用3[[#This Row],[日別区分余裕額]]/(tbl利用3[[#This Row],[基準単価]]/60),0)))</f>
        <v>0</v>
      </c>
      <c r="BK14" s="50"/>
      <c r="BL14" s="71" t="str">
        <f t="shared" si="2"/>
        <v>利用区分１</v>
      </c>
      <c r="BM14" s="45">
        <f>IF(tbl利用3[[#This Row],[利用日]]="","",MAX(0,tbl利用3[[#This Row],[利用分数]]-N(tbl利用3[[#This Row],[切捨分数]])))</f>
        <v>120</v>
      </c>
      <c r="BN14" s="45">
        <f>IF(tbl利用3[[#This Row],[利用日]]="","",tbl利用3[[#This Row],[処理後利用分数]]/60*tbl利用3[[#This Row],[基準単価]])</f>
        <v>5000</v>
      </c>
      <c r="BO14" s="45">
        <f>IF(tbl利用3[[#This Row],[日別区分キー]]="","",SUMIFS(tbl利用3[処理後明細基準額],tbl利用3[日別区分キー],tbl利用3[[#This Row],[日別区分キー]]))</f>
        <v>5000</v>
      </c>
      <c r="BP14" s="45">
        <f>IF(tbl利用3[[#This Row],[日別区分キー]]="","",ROUNDDOWN(MIN(tbl利用3[[#This Row],[日別区分実支出額]],tbl利用3[[#This Row],[日別区分処理後基準額]]),0))</f>
        <v>5000</v>
      </c>
      <c r="BQ14" s="45">
        <f>IF(tbl利用3[[#This Row],[日別区分キー]]="","",tbl利用3[[#This Row],[日別区分処理前補助額]]-tbl利用3[[#This Row],[日別区分補助額]])</f>
        <v>0</v>
      </c>
      <c r="BR14" s="45">
        <f>IF(OR(tbl利用3[[#This Row],[日別区分キー]]="",tbl利用3[[#This Row],[処理後利用分数]]&lt;=0),"",ROUNDDOWN(MIN(tbl利用3[[#This Row],[日別区分実支出額]],tbl利用3[[#This Row],[日別区分処理後基準額]]-tbl利用3[[#This Row],[基準単価]]/60),0))</f>
        <v>4958</v>
      </c>
      <c r="BS14" s="52">
        <f>IF(tbl利用3[[#This Row],[次の1分切捨時補助額]]="","",tbl利用3[[#This Row],[日別区分補助額]]-tbl利用3[[#This Row],[次の1分切捨時補助額]])</f>
        <v>42</v>
      </c>
      <c r="BT14" s="45">
        <f>IF(tbl利用3[[#This Row],[日別区分キー]]="","",--(COUNTIF(INDEX(tbl利用3[日別区分キー],1):tbl利用3[[#This Row],[日別区分キー]],tbl利用3[[#This Row],[日別区分キー]])=1))</f>
        <v>1</v>
      </c>
      <c r="BU14" s="45">
        <f>IF(tbl利用3[[#This Row],[利用区分]]="","",SUMIFS(tbl利用3[利用分数],tbl利用3[利用区分],tbl利用3[[#This Row],[利用区分]]))</f>
        <v>1470</v>
      </c>
      <c r="BV14" s="45">
        <f>IF(tbl利用3[[#This Row],[利用区分]]="","",MOD(tbl利用3[[#This Row],[区分総利用分数]],60))</f>
        <v>30</v>
      </c>
      <c r="BW14" s="45">
        <f>IF(tbl利用3[[#This Row],[利用区分]]="","",SUMIFS(tbl利用3[切捨分数],tbl利用3[利用区分],tbl利用3[[#This Row],[利用区分]]))</f>
        <v>30</v>
      </c>
      <c r="BX14" s="45" t="str">
        <f>IF(tbl利用3[[#This Row],[利用区分]]="","",IF(tbl利用3[[#This Row],[区分必要切捨分数]]=tbl利用3[[#This Row],[区分入力切捨合計]],"OK","要確認"))</f>
        <v>OK</v>
      </c>
      <c r="BY14"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
      </c>
      <c r="BZ14" s="46"/>
    </row>
    <row r="15" spans="1:78" s="1" customFormat="1" ht="28.5" customHeight="1" x14ac:dyDescent="0.4">
      <c r="A15" s="19">
        <v>8</v>
      </c>
      <c r="B15" s="75">
        <v>46172</v>
      </c>
      <c r="C15" s="76"/>
      <c r="D15" s="76"/>
      <c r="E15" s="76"/>
      <c r="F15" s="34" t="s">
        <v>67</v>
      </c>
      <c r="G15" s="13">
        <v>17</v>
      </c>
      <c r="H15" s="22" t="s">
        <v>8</v>
      </c>
      <c r="I15" s="14">
        <v>0</v>
      </c>
      <c r="J15" s="22" t="s">
        <v>9</v>
      </c>
      <c r="K15" s="14">
        <v>19</v>
      </c>
      <c r="L15" s="22" t="s">
        <v>8</v>
      </c>
      <c r="M15" s="14">
        <v>30</v>
      </c>
      <c r="N15" s="2">
        <f t="shared" si="3"/>
        <v>2</v>
      </c>
      <c r="O15" s="22" t="s">
        <v>10</v>
      </c>
      <c r="P15" s="22">
        <f t="shared" si="17"/>
        <v>30</v>
      </c>
      <c r="Q15" s="3" t="s">
        <v>11</v>
      </c>
      <c r="R15" s="79">
        <v>7500</v>
      </c>
      <c r="S15" s="80"/>
      <c r="T15" s="4" t="s">
        <v>12</v>
      </c>
      <c r="U15" s="79">
        <v>830</v>
      </c>
      <c r="V15" s="80"/>
      <c r="W15" s="4" t="s">
        <v>12</v>
      </c>
      <c r="X15" s="80">
        <v>500</v>
      </c>
      <c r="Y15" s="81"/>
      <c r="Z15" s="4" t="s">
        <v>12</v>
      </c>
      <c r="AA15" s="15"/>
      <c r="AB15" s="5">
        <f t="shared" si="5"/>
        <v>17</v>
      </c>
      <c r="AC15" s="20" t="s">
        <v>8</v>
      </c>
      <c r="AD15" s="6">
        <f t="shared" si="18"/>
        <v>0</v>
      </c>
      <c r="AE15" s="20" t="s">
        <v>9</v>
      </c>
      <c r="AF15" s="6">
        <f t="shared" si="19"/>
        <v>19</v>
      </c>
      <c r="AG15" s="20" t="s">
        <v>8</v>
      </c>
      <c r="AH15" s="6">
        <f t="shared" si="7"/>
        <v>30</v>
      </c>
      <c r="AI15" s="7">
        <f t="shared" si="20"/>
        <v>2</v>
      </c>
      <c r="AJ15" s="20" t="s">
        <v>10</v>
      </c>
      <c r="AK15" s="8">
        <f t="shared" si="9"/>
        <v>30</v>
      </c>
      <c r="AL15" s="9" t="s">
        <v>11</v>
      </c>
      <c r="AM15" s="7">
        <f t="shared" si="10"/>
        <v>0</v>
      </c>
      <c r="AN15" s="20" t="s">
        <v>10</v>
      </c>
      <c r="AO15" s="8">
        <f t="shared" si="11"/>
        <v>0</v>
      </c>
      <c r="AP15" s="10" t="s">
        <v>11</v>
      </c>
      <c r="AQ15" s="15" cm="1">
        <f t="array" ref="AQ15">IF(tbl利用3[[#This Row],[利用日]]="","",ROW()-ROW(tbl利用3[#Headers]))</f>
        <v>8</v>
      </c>
      <c r="AR15" s="32">
        <f t="shared" si="12"/>
        <v>46172</v>
      </c>
      <c r="AS15" s="15"/>
      <c r="AT15" s="43" t="str">
        <f t="shared" si="21"/>
        <v>利用区分１</v>
      </c>
      <c r="AU15" s="1">
        <f t="shared" si="14"/>
        <v>2</v>
      </c>
      <c r="AV15" s="1">
        <f t="shared" si="15"/>
        <v>30</v>
      </c>
      <c r="AW15" s="1">
        <f>IF(tbl利用3[[#This Row],[利用日]]="","",N(tbl利用3[[#This Row],[利用時間_時]])*60+N(tbl利用3[[#This Row],[利用時間_分]]))</f>
        <v>150</v>
      </c>
      <c r="AX15" s="44">
        <f t="shared" si="16"/>
        <v>7500</v>
      </c>
      <c r="AY15" s="44">
        <f t="shared" si="1"/>
        <v>500</v>
      </c>
      <c r="AZ15" s="45">
        <f>IF(tbl利用3[[#This Row],[利用日]]="","",MAX(0,N(tbl利用3[[#This Row],[割引前利用額]])-N(tbl利用3[[#This Row],[割引額]])))</f>
        <v>7000</v>
      </c>
      <c r="BA15" s="45">
        <f>IF(OR(tbl利用3[[#This Row],[利用日]]="",tbl利用3[[#This Row],[利用分数]]&lt;=0),"",N(tbl利用3[[#This Row],[割引前利用額]])/tbl利用3[[#This Row],[利用分数]]*60)</f>
        <v>3000</v>
      </c>
      <c r="BB15" s="45">
        <f>IF(tbl利用3[[#This Row],[利用区分]]="","",_xlfn.XLOOKUP(tbl利用3[[#This Row],[利用区分]],$AQ$4:$AQ$5,$AR$4:$AR$5,"区分未登録"))</f>
        <v>2500</v>
      </c>
      <c r="BC15" s="45">
        <f>IF(OR(tbl利用3[[#This Row],[通常時間単価]]="",NOT(ISNUMBER(tbl利用3[[#This Row],[上限単価]]))),"",MIN(tbl利用3[[#This Row],[通常時間単価]],tbl利用3[[#This Row],[上限単価]]))</f>
        <v>2500</v>
      </c>
      <c r="BD15" s="45">
        <f>IF(tbl利用3[[#This Row],[利用日]]="","",tbl利用3[[#This Row],[利用分数]]/60*tbl利用3[[#This Row],[基準単価]])</f>
        <v>6250</v>
      </c>
      <c r="BE15" s="69" t="str">
        <f>IF(OR(tbl利用3[[#This Row],[利用日]]="",tbl利用3[[#This Row],[利用区分]]=""),"",TEXT(tbl利用3[[#This Row],[利用日]],"yyyymmdd")&amp;"|"&amp;tbl利用3[[#This Row],[利用区分]])</f>
        <v>20260530|利用区分１</v>
      </c>
      <c r="BF15" s="45">
        <f>IF(tbl利用3[[#This Row],[日別区分キー]]="","",SUMIFS(tbl利用3[明細実支出額],tbl利用3[日別区分キー],tbl利用3[[#This Row],[日別区分キー]]))</f>
        <v>7000</v>
      </c>
      <c r="BG15" s="45">
        <f>IF(tbl利用3[[#This Row],[日別区分キー]]="","",SUMIFS(tbl利用3[処理前明細基準額],tbl利用3[日別区分キー],tbl利用3[[#This Row],[日別区分キー]]))</f>
        <v>6250</v>
      </c>
      <c r="BH15" s="45">
        <f>IF(tbl利用3[[#This Row],[日別区分キー]]="","",ROUNDDOWN(MIN(tbl利用3[[#This Row],[日別区分実支出額]],tbl利用3[[#This Row],[日別区分処理前基準額]]),0))</f>
        <v>6250</v>
      </c>
      <c r="BI15" s="45">
        <f>IF(tbl利用3[[#This Row],[日別区分キー]]="","",MAX(0,tbl利用3[[#This Row],[日別区分処理前基準額]]-tbl利用3[[#This Row],[日別区分実支出額]]))</f>
        <v>0</v>
      </c>
      <c r="BJ15" s="45">
        <f>IF(OR(tbl利用3[[#This Row],[利用日]]="",tbl利用3[[#This Row],[基準単価]]&lt;=0),0,MIN(tbl利用3[[#This Row],[利用分数]],ROUNDDOWN(tbl利用3[[#This Row],[日別区分余裕額]]/(tbl利用3[[#This Row],[基準単価]]/60),0)))</f>
        <v>0</v>
      </c>
      <c r="BK15" s="50"/>
      <c r="BL15" s="71" t="str">
        <f t="shared" si="2"/>
        <v>利用区分１</v>
      </c>
      <c r="BM15" s="45">
        <f>IF(tbl利用3[[#This Row],[利用日]]="","",MAX(0,tbl利用3[[#This Row],[利用分数]]-N(tbl利用3[[#This Row],[切捨分数]])))</f>
        <v>150</v>
      </c>
      <c r="BN15" s="45">
        <f>IF(tbl利用3[[#This Row],[利用日]]="","",tbl利用3[[#This Row],[処理後利用分数]]/60*tbl利用3[[#This Row],[基準単価]])</f>
        <v>6250</v>
      </c>
      <c r="BO15" s="45">
        <f>IF(tbl利用3[[#This Row],[日別区分キー]]="","",SUMIFS(tbl利用3[処理後明細基準額],tbl利用3[日別区分キー],tbl利用3[[#This Row],[日別区分キー]]))</f>
        <v>6250</v>
      </c>
      <c r="BP15" s="45">
        <f>IF(tbl利用3[[#This Row],[日別区分キー]]="","",ROUNDDOWN(MIN(tbl利用3[[#This Row],[日別区分実支出額]],tbl利用3[[#This Row],[日別区分処理後基準額]]),0))</f>
        <v>6250</v>
      </c>
      <c r="BQ15" s="45">
        <f>IF(tbl利用3[[#This Row],[日別区分キー]]="","",tbl利用3[[#This Row],[日別区分処理前補助額]]-tbl利用3[[#This Row],[日別区分補助額]])</f>
        <v>0</v>
      </c>
      <c r="BR15" s="45">
        <f>IF(OR(tbl利用3[[#This Row],[日別区分キー]]="",tbl利用3[[#This Row],[処理後利用分数]]&lt;=0),"",ROUNDDOWN(MIN(tbl利用3[[#This Row],[日別区分実支出額]],tbl利用3[[#This Row],[日別区分処理後基準額]]-tbl利用3[[#This Row],[基準単価]]/60),0))</f>
        <v>6208</v>
      </c>
      <c r="BS15" s="52">
        <f>IF(tbl利用3[[#This Row],[次の1分切捨時補助額]]="","",tbl利用3[[#This Row],[日別区分補助額]]-tbl利用3[[#This Row],[次の1分切捨時補助額]])</f>
        <v>42</v>
      </c>
      <c r="BT15" s="45">
        <f>IF(tbl利用3[[#This Row],[日別区分キー]]="","",--(COUNTIF(INDEX(tbl利用3[日別区分キー],1):tbl利用3[[#This Row],[日別区分キー]],tbl利用3[[#This Row],[日別区分キー]])=1))</f>
        <v>1</v>
      </c>
      <c r="BU15" s="45">
        <f>IF(tbl利用3[[#This Row],[利用区分]]="","",SUMIFS(tbl利用3[利用分数],tbl利用3[利用区分],tbl利用3[[#This Row],[利用区分]]))</f>
        <v>1470</v>
      </c>
      <c r="BV15" s="45">
        <f>IF(tbl利用3[[#This Row],[利用区分]]="","",MOD(tbl利用3[[#This Row],[区分総利用分数]],60))</f>
        <v>30</v>
      </c>
      <c r="BW15" s="45">
        <f>IF(tbl利用3[[#This Row],[利用区分]]="","",SUMIFS(tbl利用3[切捨分数],tbl利用3[利用区分],tbl利用3[[#This Row],[利用区分]]))</f>
        <v>30</v>
      </c>
      <c r="BX15" s="45" t="str">
        <f>IF(tbl利用3[[#This Row],[利用区分]]="","",IF(tbl利用3[[#This Row],[区分必要切捨分数]]=tbl利用3[[#This Row],[区分入力切捨合計]],"OK","要確認"))</f>
        <v>OK</v>
      </c>
      <c r="BY15"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
      </c>
      <c r="BZ15" s="46"/>
    </row>
    <row r="16" spans="1:78" s="1" customFormat="1" ht="28.5" customHeight="1" x14ac:dyDescent="0.4">
      <c r="A16" s="19">
        <v>9</v>
      </c>
      <c r="B16" s="75">
        <v>46178</v>
      </c>
      <c r="C16" s="76"/>
      <c r="D16" s="76"/>
      <c r="E16" s="76"/>
      <c r="F16" s="34" t="s">
        <v>67</v>
      </c>
      <c r="G16" s="13">
        <v>20</v>
      </c>
      <c r="H16" s="22" t="s">
        <v>8</v>
      </c>
      <c r="I16" s="14">
        <v>0</v>
      </c>
      <c r="J16" s="22" t="s">
        <v>9</v>
      </c>
      <c r="K16" s="14">
        <v>22</v>
      </c>
      <c r="L16" s="22" t="s">
        <v>8</v>
      </c>
      <c r="M16" s="14">
        <v>0</v>
      </c>
      <c r="N16" s="2">
        <f t="shared" si="3"/>
        <v>2</v>
      </c>
      <c r="O16" s="22" t="s">
        <v>10</v>
      </c>
      <c r="P16" s="22">
        <f t="shared" si="17"/>
        <v>0</v>
      </c>
      <c r="Q16" s="3" t="s">
        <v>11</v>
      </c>
      <c r="R16" s="79">
        <v>2600</v>
      </c>
      <c r="S16" s="80"/>
      <c r="T16" s="4" t="s">
        <v>12</v>
      </c>
      <c r="U16" s="79">
        <v>1500</v>
      </c>
      <c r="V16" s="80"/>
      <c r="W16" s="4" t="s">
        <v>12</v>
      </c>
      <c r="X16" s="80"/>
      <c r="Y16" s="81"/>
      <c r="Z16" s="4" t="s">
        <v>12</v>
      </c>
      <c r="AA16" s="15"/>
      <c r="AB16" s="5">
        <f t="shared" si="5"/>
        <v>20</v>
      </c>
      <c r="AC16" s="20" t="s">
        <v>8</v>
      </c>
      <c r="AD16" s="6">
        <f t="shared" si="18"/>
        <v>0</v>
      </c>
      <c r="AE16" s="20" t="s">
        <v>9</v>
      </c>
      <c r="AF16" s="6">
        <f t="shared" si="19"/>
        <v>22</v>
      </c>
      <c r="AG16" s="20" t="s">
        <v>8</v>
      </c>
      <c r="AH16" s="6">
        <f t="shared" si="7"/>
        <v>0</v>
      </c>
      <c r="AI16" s="7">
        <f t="shared" si="20"/>
        <v>2</v>
      </c>
      <c r="AJ16" s="20" t="s">
        <v>10</v>
      </c>
      <c r="AK16" s="8">
        <f t="shared" si="9"/>
        <v>0</v>
      </c>
      <c r="AL16" s="9" t="s">
        <v>11</v>
      </c>
      <c r="AM16" s="7">
        <f t="shared" si="10"/>
        <v>0</v>
      </c>
      <c r="AN16" s="20" t="s">
        <v>10</v>
      </c>
      <c r="AO16" s="8">
        <f t="shared" si="11"/>
        <v>0</v>
      </c>
      <c r="AP16" s="10" t="s">
        <v>11</v>
      </c>
      <c r="AQ16" s="15" cm="1">
        <f t="array" ref="AQ16">IF(tbl利用3[[#This Row],[利用日]]="","",ROW()-ROW(tbl利用3[#Headers]))</f>
        <v>9</v>
      </c>
      <c r="AR16" s="32">
        <f t="shared" si="12"/>
        <v>46178</v>
      </c>
      <c r="AS16" s="15"/>
      <c r="AT16" s="43" t="str">
        <f t="shared" si="21"/>
        <v>利用区分１</v>
      </c>
      <c r="AU16" s="1">
        <f t="shared" si="14"/>
        <v>2</v>
      </c>
      <c r="AV16" s="1">
        <f t="shared" si="15"/>
        <v>0</v>
      </c>
      <c r="AW16" s="1">
        <f>IF(tbl利用3[[#This Row],[利用日]]="","",N(tbl利用3[[#This Row],[利用時間_時]])*60+N(tbl利用3[[#This Row],[利用時間_分]]))</f>
        <v>120</v>
      </c>
      <c r="AX16" s="44">
        <f t="shared" si="16"/>
        <v>2600</v>
      </c>
      <c r="AY16" s="44" t="str">
        <f t="shared" si="1"/>
        <v/>
      </c>
      <c r="AZ16" s="45">
        <f>IF(tbl利用3[[#This Row],[利用日]]="","",MAX(0,N(tbl利用3[[#This Row],[割引前利用額]])-N(tbl利用3[[#This Row],[割引額]])))</f>
        <v>2600</v>
      </c>
      <c r="BA16" s="45">
        <f>IF(OR(tbl利用3[[#This Row],[利用日]]="",tbl利用3[[#This Row],[利用分数]]&lt;=0),"",N(tbl利用3[[#This Row],[割引前利用額]])/tbl利用3[[#This Row],[利用分数]]*60)</f>
        <v>1300</v>
      </c>
      <c r="BB16" s="45">
        <f>IF(tbl利用3[[#This Row],[利用区分]]="","",_xlfn.XLOOKUP(tbl利用3[[#This Row],[利用区分]],$AQ$4:$AQ$5,$AR$4:$AR$5,"区分未登録"))</f>
        <v>2500</v>
      </c>
      <c r="BC16" s="45">
        <f>IF(OR(tbl利用3[[#This Row],[通常時間単価]]="",NOT(ISNUMBER(tbl利用3[[#This Row],[上限単価]]))),"",MIN(tbl利用3[[#This Row],[通常時間単価]],tbl利用3[[#This Row],[上限単価]]))</f>
        <v>1300</v>
      </c>
      <c r="BD16" s="45">
        <f>IF(tbl利用3[[#This Row],[利用日]]="","",tbl利用3[[#This Row],[利用分数]]/60*tbl利用3[[#This Row],[基準単価]])</f>
        <v>2600</v>
      </c>
      <c r="BE16" s="69" t="str">
        <f>IF(OR(tbl利用3[[#This Row],[利用日]]="",tbl利用3[[#This Row],[利用区分]]=""),"",TEXT(tbl利用3[[#This Row],[利用日]],"yyyymmdd")&amp;"|"&amp;tbl利用3[[#This Row],[利用区分]])</f>
        <v>20260605|利用区分１</v>
      </c>
      <c r="BF16" s="45">
        <f>IF(tbl利用3[[#This Row],[日別区分キー]]="","",SUMIFS(tbl利用3[明細実支出額],tbl利用3[日別区分キー],tbl利用3[[#This Row],[日別区分キー]]))</f>
        <v>2600</v>
      </c>
      <c r="BG16" s="45">
        <f>IF(tbl利用3[[#This Row],[日別区分キー]]="","",SUMIFS(tbl利用3[処理前明細基準額],tbl利用3[日別区分キー],tbl利用3[[#This Row],[日別区分キー]]))</f>
        <v>2600</v>
      </c>
      <c r="BH16" s="45">
        <f>IF(tbl利用3[[#This Row],[日別区分キー]]="","",ROUNDDOWN(MIN(tbl利用3[[#This Row],[日別区分実支出額]],tbl利用3[[#This Row],[日別区分処理前基準額]]),0))</f>
        <v>2600</v>
      </c>
      <c r="BI16" s="45">
        <f>IF(tbl利用3[[#This Row],[日別区分キー]]="","",MAX(0,tbl利用3[[#This Row],[日別区分処理前基準額]]-tbl利用3[[#This Row],[日別区分実支出額]]))</f>
        <v>0</v>
      </c>
      <c r="BJ16" s="45">
        <f>IF(OR(tbl利用3[[#This Row],[利用日]]="",tbl利用3[[#This Row],[基準単価]]&lt;=0),0,MIN(tbl利用3[[#This Row],[利用分数]],ROUNDDOWN(tbl利用3[[#This Row],[日別区分余裕額]]/(tbl利用3[[#This Row],[基準単価]]/60),0)))</f>
        <v>0</v>
      </c>
      <c r="BK16" s="50"/>
      <c r="BL16" s="71" t="str">
        <f t="shared" si="2"/>
        <v>利用区分１</v>
      </c>
      <c r="BM16" s="45">
        <f>IF(tbl利用3[[#This Row],[利用日]]="","",MAX(0,tbl利用3[[#This Row],[利用分数]]-N(tbl利用3[[#This Row],[切捨分数]])))</f>
        <v>120</v>
      </c>
      <c r="BN16" s="45">
        <f>IF(tbl利用3[[#This Row],[利用日]]="","",tbl利用3[[#This Row],[処理後利用分数]]/60*tbl利用3[[#This Row],[基準単価]])</f>
        <v>2600</v>
      </c>
      <c r="BO16" s="45">
        <f>IF(tbl利用3[[#This Row],[日別区分キー]]="","",SUMIFS(tbl利用3[処理後明細基準額],tbl利用3[日別区分キー],tbl利用3[[#This Row],[日別区分キー]]))</f>
        <v>2600</v>
      </c>
      <c r="BP16" s="45">
        <f>IF(tbl利用3[[#This Row],[日別区分キー]]="","",ROUNDDOWN(MIN(tbl利用3[[#This Row],[日別区分実支出額]],tbl利用3[[#This Row],[日別区分処理後基準額]]),0))</f>
        <v>2600</v>
      </c>
      <c r="BQ16" s="45">
        <f>IF(tbl利用3[[#This Row],[日別区分キー]]="","",tbl利用3[[#This Row],[日別区分処理前補助額]]-tbl利用3[[#This Row],[日別区分補助額]])</f>
        <v>0</v>
      </c>
      <c r="BR16" s="45">
        <f>IF(OR(tbl利用3[[#This Row],[日別区分キー]]="",tbl利用3[[#This Row],[処理後利用分数]]&lt;=0),"",ROUNDDOWN(MIN(tbl利用3[[#This Row],[日別区分実支出額]],tbl利用3[[#This Row],[日別区分処理後基準額]]-tbl利用3[[#This Row],[基準単価]]/60),0))</f>
        <v>2578</v>
      </c>
      <c r="BS16" s="52">
        <f>IF(tbl利用3[[#This Row],[次の1分切捨時補助額]]="","",tbl利用3[[#This Row],[日別区分補助額]]-tbl利用3[[#This Row],[次の1分切捨時補助額]])</f>
        <v>22</v>
      </c>
      <c r="BT16" s="45">
        <f>IF(tbl利用3[[#This Row],[日別区分キー]]="","",--(COUNTIF(INDEX(tbl利用3[日別区分キー],1):tbl利用3[[#This Row],[日別区分キー]],tbl利用3[[#This Row],[日別区分キー]])=1))</f>
        <v>1</v>
      </c>
      <c r="BU16" s="45">
        <f>IF(tbl利用3[[#This Row],[利用区分]]="","",SUMIFS(tbl利用3[利用分数],tbl利用3[利用区分],tbl利用3[[#This Row],[利用区分]]))</f>
        <v>1470</v>
      </c>
      <c r="BV16" s="45">
        <f>IF(tbl利用3[[#This Row],[利用区分]]="","",MOD(tbl利用3[[#This Row],[区分総利用分数]],60))</f>
        <v>30</v>
      </c>
      <c r="BW16" s="45">
        <f>IF(tbl利用3[[#This Row],[利用区分]]="","",SUMIFS(tbl利用3[切捨分数],tbl利用3[利用区分],tbl利用3[[#This Row],[利用区分]]))</f>
        <v>30</v>
      </c>
      <c r="BX16" s="45" t="str">
        <f>IF(tbl利用3[[#This Row],[利用区分]]="","",IF(tbl利用3[[#This Row],[区分必要切捨分数]]=tbl利用3[[#This Row],[区分入力切捨合計]],"OK","要確認"))</f>
        <v>OK</v>
      </c>
      <c r="BY16"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
      </c>
      <c r="BZ16" s="46"/>
    </row>
    <row r="17" spans="1:78" s="1" customFormat="1" ht="28.5" customHeight="1" x14ac:dyDescent="0.4">
      <c r="A17" s="19">
        <v>10</v>
      </c>
      <c r="B17" s="75">
        <v>46178</v>
      </c>
      <c r="C17" s="76"/>
      <c r="D17" s="76"/>
      <c r="E17" s="76"/>
      <c r="F17" s="34" t="s">
        <v>68</v>
      </c>
      <c r="G17" s="13">
        <v>22</v>
      </c>
      <c r="H17" s="22" t="s">
        <v>8</v>
      </c>
      <c r="I17" s="14">
        <v>0</v>
      </c>
      <c r="J17" s="22" t="s">
        <v>9</v>
      </c>
      <c r="K17" s="14">
        <v>22</v>
      </c>
      <c r="L17" s="22" t="s">
        <v>8</v>
      </c>
      <c r="M17" s="14">
        <v>15</v>
      </c>
      <c r="N17" s="2">
        <f t="shared" si="3"/>
        <v>0</v>
      </c>
      <c r="O17" s="22" t="s">
        <v>10</v>
      </c>
      <c r="P17" s="22">
        <f t="shared" si="17"/>
        <v>15</v>
      </c>
      <c r="Q17" s="3" t="s">
        <v>11</v>
      </c>
      <c r="R17" s="79">
        <v>1000</v>
      </c>
      <c r="S17" s="80"/>
      <c r="T17" s="4" t="s">
        <v>12</v>
      </c>
      <c r="U17" s="79">
        <v>1500</v>
      </c>
      <c r="V17" s="80"/>
      <c r="W17" s="4" t="s">
        <v>12</v>
      </c>
      <c r="X17" s="80">
        <v>500</v>
      </c>
      <c r="Y17" s="81"/>
      <c r="Z17" s="4" t="s">
        <v>12</v>
      </c>
      <c r="AA17" s="15"/>
      <c r="AB17" s="5">
        <f t="shared" si="5"/>
        <v>22</v>
      </c>
      <c r="AC17" s="20" t="s">
        <v>8</v>
      </c>
      <c r="AD17" s="6">
        <f t="shared" si="18"/>
        <v>0</v>
      </c>
      <c r="AE17" s="20" t="s">
        <v>9</v>
      </c>
      <c r="AF17" s="6">
        <f t="shared" si="19"/>
        <v>22</v>
      </c>
      <c r="AG17" s="20" t="s">
        <v>8</v>
      </c>
      <c r="AH17" s="6">
        <f t="shared" si="7"/>
        <v>0</v>
      </c>
      <c r="AI17" s="7">
        <f t="shared" si="20"/>
        <v>0</v>
      </c>
      <c r="AJ17" s="20" t="s">
        <v>10</v>
      </c>
      <c r="AK17" s="8">
        <f t="shared" si="9"/>
        <v>0</v>
      </c>
      <c r="AL17" s="9" t="s">
        <v>11</v>
      </c>
      <c r="AM17" s="7">
        <f t="shared" si="10"/>
        <v>0</v>
      </c>
      <c r="AN17" s="20" t="s">
        <v>10</v>
      </c>
      <c r="AO17" s="8">
        <f t="shared" si="11"/>
        <v>15</v>
      </c>
      <c r="AP17" s="10" t="s">
        <v>11</v>
      </c>
      <c r="AQ17" s="15" cm="1">
        <f t="array" ref="AQ17">IF(tbl利用3[[#This Row],[利用日]]="","",ROW()-ROW(tbl利用3[#Headers]))</f>
        <v>10</v>
      </c>
      <c r="AR17" s="32">
        <f t="shared" si="12"/>
        <v>46178</v>
      </c>
      <c r="AS17" s="15"/>
      <c r="AT17" s="43" t="str">
        <f t="shared" si="21"/>
        <v>利用区分２</v>
      </c>
      <c r="AU17" s="1">
        <f t="shared" si="14"/>
        <v>0</v>
      </c>
      <c r="AV17" s="1">
        <f t="shared" si="15"/>
        <v>15</v>
      </c>
      <c r="AW17" s="1">
        <f>IF(tbl利用3[[#This Row],[利用日]]="","",N(tbl利用3[[#This Row],[利用時間_時]])*60+N(tbl利用3[[#This Row],[利用時間_分]]))</f>
        <v>15</v>
      </c>
      <c r="AX17" s="44">
        <f t="shared" si="16"/>
        <v>1000</v>
      </c>
      <c r="AY17" s="44">
        <f t="shared" si="1"/>
        <v>500</v>
      </c>
      <c r="AZ17" s="45">
        <f>IF(tbl利用3[[#This Row],[利用日]]="","",MAX(0,N(tbl利用3[[#This Row],[割引前利用額]])-N(tbl利用3[[#This Row],[割引額]])))</f>
        <v>500</v>
      </c>
      <c r="BA17" s="45">
        <f>IF(OR(tbl利用3[[#This Row],[利用日]]="",tbl利用3[[#This Row],[利用分数]]&lt;=0),"",N(tbl利用3[[#This Row],[割引前利用額]])/tbl利用3[[#This Row],[利用分数]]*60)</f>
        <v>4000.0000000000005</v>
      </c>
      <c r="BB17" s="45">
        <f>IF(tbl利用3[[#This Row],[利用区分]]="","",_xlfn.XLOOKUP(tbl利用3[[#This Row],[利用区分]],$AQ$4:$AQ$5,$AR$4:$AR$5,"区分未登録"))</f>
        <v>3500</v>
      </c>
      <c r="BC17" s="45">
        <f>IF(OR(tbl利用3[[#This Row],[通常時間単価]]="",NOT(ISNUMBER(tbl利用3[[#This Row],[上限単価]]))),"",MIN(tbl利用3[[#This Row],[通常時間単価]],tbl利用3[[#This Row],[上限単価]]))</f>
        <v>3500</v>
      </c>
      <c r="BD17" s="45">
        <f>IF(tbl利用3[[#This Row],[利用日]]="","",tbl利用3[[#This Row],[利用分数]]/60*tbl利用3[[#This Row],[基準単価]])</f>
        <v>875</v>
      </c>
      <c r="BE17" s="69" t="str">
        <f>IF(OR(tbl利用3[[#This Row],[利用日]]="",tbl利用3[[#This Row],[利用区分]]=""),"",TEXT(tbl利用3[[#This Row],[利用日]],"yyyymmdd")&amp;"|"&amp;tbl利用3[[#This Row],[利用区分]])</f>
        <v>20260605|利用区分２</v>
      </c>
      <c r="BF17" s="45">
        <f>IF(tbl利用3[[#This Row],[日別区分キー]]="","",SUMIFS(tbl利用3[明細実支出額],tbl利用3[日別区分キー],tbl利用3[[#This Row],[日別区分キー]]))</f>
        <v>500</v>
      </c>
      <c r="BG17" s="45">
        <f>IF(tbl利用3[[#This Row],[日別区分キー]]="","",SUMIFS(tbl利用3[処理前明細基準額],tbl利用3[日別区分キー],tbl利用3[[#This Row],[日別区分キー]]))</f>
        <v>875</v>
      </c>
      <c r="BH17" s="45">
        <f>IF(tbl利用3[[#This Row],[日別区分キー]]="","",ROUNDDOWN(MIN(tbl利用3[[#This Row],[日別区分実支出額]],tbl利用3[[#This Row],[日別区分処理前基準額]]),0))</f>
        <v>500</v>
      </c>
      <c r="BI17" s="45">
        <f>IF(tbl利用3[[#This Row],[日別区分キー]]="","",MAX(0,tbl利用3[[#This Row],[日別区分処理前基準額]]-tbl利用3[[#This Row],[日別区分実支出額]]))</f>
        <v>375</v>
      </c>
      <c r="BJ17" s="45">
        <f>IF(OR(tbl利用3[[#This Row],[利用日]]="",tbl利用3[[#This Row],[基準単価]]&lt;=0),0,MIN(tbl利用3[[#This Row],[利用分数]],ROUNDDOWN(tbl利用3[[#This Row],[日別区分余裕額]]/(tbl利用3[[#This Row],[基準単価]]/60),0)))</f>
        <v>6</v>
      </c>
      <c r="BK17" s="50">
        <v>15</v>
      </c>
      <c r="BL17" s="71" t="str">
        <f t="shared" si="2"/>
        <v>利用区分２</v>
      </c>
      <c r="BM17" s="45">
        <f>IF(tbl利用3[[#This Row],[利用日]]="","",MAX(0,tbl利用3[[#This Row],[利用分数]]-N(tbl利用3[[#This Row],[切捨分数]])))</f>
        <v>0</v>
      </c>
      <c r="BN17" s="45">
        <f>IF(tbl利用3[[#This Row],[利用日]]="","",tbl利用3[[#This Row],[処理後利用分数]]/60*tbl利用3[[#This Row],[基準単価]])</f>
        <v>0</v>
      </c>
      <c r="BO17" s="45">
        <f>IF(tbl利用3[[#This Row],[日別区分キー]]="","",SUMIFS(tbl利用3[処理後明細基準額],tbl利用3[日別区分キー],tbl利用3[[#This Row],[日別区分キー]]))</f>
        <v>0</v>
      </c>
      <c r="BP17" s="45">
        <f>IF(tbl利用3[[#This Row],[日別区分キー]]="","",ROUNDDOWN(MIN(tbl利用3[[#This Row],[日別区分実支出額]],tbl利用3[[#This Row],[日別区分処理後基準額]]),0))</f>
        <v>0</v>
      </c>
      <c r="BQ17" s="45">
        <f>IF(tbl利用3[[#This Row],[日別区分キー]]="","",tbl利用3[[#This Row],[日別区分処理前補助額]]-tbl利用3[[#This Row],[日別区分補助額]])</f>
        <v>500</v>
      </c>
      <c r="BR17" s="45" t="str">
        <f>IF(OR(tbl利用3[[#This Row],[日別区分キー]]="",tbl利用3[[#This Row],[処理後利用分数]]&lt;=0),"",ROUNDDOWN(MIN(tbl利用3[[#This Row],[日別区分実支出額]],tbl利用3[[#This Row],[日別区分処理後基準額]]-tbl利用3[[#This Row],[基準単価]]/60),0))</f>
        <v/>
      </c>
      <c r="BS17" s="52" t="str">
        <f>IF(tbl利用3[[#This Row],[次の1分切捨時補助額]]="","",tbl利用3[[#This Row],[日別区分補助額]]-tbl利用3[[#This Row],[次の1分切捨時補助額]])</f>
        <v/>
      </c>
      <c r="BT17" s="45">
        <f>IF(tbl利用3[[#This Row],[日別区分キー]]="","",--(COUNTIF(INDEX(tbl利用3[日別区分キー],1):tbl利用3[[#This Row],[日別区分キー]],tbl利用3[[#This Row],[日別区分キー]])=1))</f>
        <v>1</v>
      </c>
      <c r="BU17" s="45">
        <f>IF(tbl利用3[[#This Row],[利用区分]]="","",SUMIFS(tbl利用3[利用分数],tbl利用3[利用区分],tbl利用3[[#This Row],[利用区分]]))</f>
        <v>165</v>
      </c>
      <c r="BV17" s="45">
        <f>IF(tbl利用3[[#This Row],[利用区分]]="","",MOD(tbl利用3[[#This Row],[区分総利用分数]],60))</f>
        <v>45</v>
      </c>
      <c r="BW17" s="45">
        <f>IF(tbl利用3[[#This Row],[利用区分]]="","",SUMIFS(tbl利用3[切捨分数],tbl利用3[利用区分],tbl利用3[[#This Row],[利用区分]]))</f>
        <v>45</v>
      </c>
      <c r="BX17" s="45" t="str">
        <f>IF(tbl利用3[[#This Row],[利用区分]]="","",IF(tbl利用3[[#This Row],[区分必要切捨分数]]=tbl利用3[[#This Row],[区分入力切捨合計]],"OK","要確認"))</f>
        <v>OK</v>
      </c>
      <c r="BY17"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
      </c>
      <c r="BZ17" s="46"/>
    </row>
    <row r="18" spans="1:78" s="1" customFormat="1" ht="28.5" customHeight="1" x14ac:dyDescent="0.4">
      <c r="A18" s="19">
        <v>11</v>
      </c>
      <c r="B18" s="75">
        <v>46203</v>
      </c>
      <c r="C18" s="76"/>
      <c r="D18" s="76"/>
      <c r="E18" s="76"/>
      <c r="F18" s="34" t="s">
        <v>67</v>
      </c>
      <c r="G18" s="13">
        <v>15</v>
      </c>
      <c r="H18" s="22" t="s">
        <v>8</v>
      </c>
      <c r="I18" s="14">
        <v>0</v>
      </c>
      <c r="J18" s="22" t="s">
        <v>9</v>
      </c>
      <c r="K18" s="14">
        <v>19</v>
      </c>
      <c r="L18" s="22" t="s">
        <v>8</v>
      </c>
      <c r="M18" s="14">
        <v>0</v>
      </c>
      <c r="N18" s="2">
        <f t="shared" si="3"/>
        <v>4</v>
      </c>
      <c r="O18" s="22" t="s">
        <v>10</v>
      </c>
      <c r="P18" s="22">
        <f t="shared" si="17"/>
        <v>0</v>
      </c>
      <c r="Q18" s="3" t="s">
        <v>11</v>
      </c>
      <c r="R18" s="79">
        <v>9000</v>
      </c>
      <c r="S18" s="80"/>
      <c r="T18" s="4" t="s">
        <v>12</v>
      </c>
      <c r="U18" s="79">
        <v>830</v>
      </c>
      <c r="V18" s="80"/>
      <c r="W18" s="4" t="s">
        <v>12</v>
      </c>
      <c r="X18" s="80">
        <v>500</v>
      </c>
      <c r="Y18" s="81"/>
      <c r="Z18" s="4" t="s">
        <v>12</v>
      </c>
      <c r="AA18" s="15"/>
      <c r="AB18" s="5">
        <f t="shared" si="5"/>
        <v>15</v>
      </c>
      <c r="AC18" s="20" t="s">
        <v>8</v>
      </c>
      <c r="AD18" s="6">
        <f t="shared" si="18"/>
        <v>0</v>
      </c>
      <c r="AE18" s="20" t="s">
        <v>9</v>
      </c>
      <c r="AF18" s="6">
        <f t="shared" si="19"/>
        <v>19</v>
      </c>
      <c r="AG18" s="20" t="s">
        <v>8</v>
      </c>
      <c r="AH18" s="6">
        <f t="shared" si="7"/>
        <v>0</v>
      </c>
      <c r="AI18" s="7">
        <f t="shared" si="20"/>
        <v>4</v>
      </c>
      <c r="AJ18" s="20" t="s">
        <v>10</v>
      </c>
      <c r="AK18" s="8">
        <f t="shared" si="9"/>
        <v>0</v>
      </c>
      <c r="AL18" s="9" t="s">
        <v>11</v>
      </c>
      <c r="AM18" s="7">
        <f t="shared" si="10"/>
        <v>0</v>
      </c>
      <c r="AN18" s="20" t="s">
        <v>10</v>
      </c>
      <c r="AO18" s="8">
        <f t="shared" si="11"/>
        <v>0</v>
      </c>
      <c r="AP18" s="10" t="s">
        <v>11</v>
      </c>
      <c r="AQ18" s="15" cm="1">
        <f t="array" ref="AQ18">IF(tbl利用3[[#This Row],[利用日]]="","",ROW()-ROW(tbl利用3[#Headers]))</f>
        <v>11</v>
      </c>
      <c r="AR18" s="32">
        <f t="shared" si="12"/>
        <v>46203</v>
      </c>
      <c r="AS18" s="15"/>
      <c r="AT18" s="43" t="str">
        <f t="shared" si="21"/>
        <v>利用区分１</v>
      </c>
      <c r="AU18" s="1">
        <f t="shared" si="14"/>
        <v>4</v>
      </c>
      <c r="AV18" s="1">
        <f t="shared" si="15"/>
        <v>0</v>
      </c>
      <c r="AW18" s="1">
        <f>IF(tbl利用3[[#This Row],[利用日]]="","",N(tbl利用3[[#This Row],[利用時間_時]])*60+N(tbl利用3[[#This Row],[利用時間_分]]))</f>
        <v>240</v>
      </c>
      <c r="AX18" s="44">
        <f t="shared" si="16"/>
        <v>9000</v>
      </c>
      <c r="AY18" s="44">
        <f t="shared" si="1"/>
        <v>500</v>
      </c>
      <c r="AZ18" s="45">
        <f>IF(tbl利用3[[#This Row],[利用日]]="","",MAX(0,N(tbl利用3[[#This Row],[割引前利用額]])-N(tbl利用3[[#This Row],[割引額]])))</f>
        <v>8500</v>
      </c>
      <c r="BA18" s="45">
        <f>IF(OR(tbl利用3[[#This Row],[利用日]]="",tbl利用3[[#This Row],[利用分数]]&lt;=0),"",N(tbl利用3[[#This Row],[割引前利用額]])/tbl利用3[[#This Row],[利用分数]]*60)</f>
        <v>2250</v>
      </c>
      <c r="BB18" s="45">
        <f>IF(tbl利用3[[#This Row],[利用区分]]="","",_xlfn.XLOOKUP(tbl利用3[[#This Row],[利用区分]],$AQ$4:$AQ$5,$AR$4:$AR$5,"区分未登録"))</f>
        <v>2500</v>
      </c>
      <c r="BC18" s="45">
        <f>IF(OR(tbl利用3[[#This Row],[通常時間単価]]="",NOT(ISNUMBER(tbl利用3[[#This Row],[上限単価]]))),"",MIN(tbl利用3[[#This Row],[通常時間単価]],tbl利用3[[#This Row],[上限単価]]))</f>
        <v>2250</v>
      </c>
      <c r="BD18" s="45">
        <f>IF(tbl利用3[[#This Row],[利用日]]="","",tbl利用3[[#This Row],[利用分数]]/60*tbl利用3[[#This Row],[基準単価]])</f>
        <v>9000</v>
      </c>
      <c r="BE18" s="69" t="str">
        <f>IF(OR(tbl利用3[[#This Row],[利用日]]="",tbl利用3[[#This Row],[利用区分]]=""),"",TEXT(tbl利用3[[#This Row],[利用日]],"yyyymmdd")&amp;"|"&amp;tbl利用3[[#This Row],[利用区分]])</f>
        <v>20260630|利用区分１</v>
      </c>
      <c r="BF18" s="45">
        <f>IF(tbl利用3[[#This Row],[日別区分キー]]="","",SUMIFS(tbl利用3[明細実支出額],tbl利用3[日別区分キー],tbl利用3[[#This Row],[日別区分キー]]))</f>
        <v>8500</v>
      </c>
      <c r="BG18" s="45">
        <f>IF(tbl利用3[[#This Row],[日別区分キー]]="","",SUMIFS(tbl利用3[処理前明細基準額],tbl利用3[日別区分キー],tbl利用3[[#This Row],[日別区分キー]]))</f>
        <v>9000</v>
      </c>
      <c r="BH18" s="45">
        <f>IF(tbl利用3[[#This Row],[日別区分キー]]="","",ROUNDDOWN(MIN(tbl利用3[[#This Row],[日別区分実支出額]],tbl利用3[[#This Row],[日別区分処理前基準額]]),0))</f>
        <v>8500</v>
      </c>
      <c r="BI18" s="45">
        <f>IF(tbl利用3[[#This Row],[日別区分キー]]="","",MAX(0,tbl利用3[[#This Row],[日別区分処理前基準額]]-tbl利用3[[#This Row],[日別区分実支出額]]))</f>
        <v>500</v>
      </c>
      <c r="BJ18" s="45">
        <f>IF(OR(tbl利用3[[#This Row],[利用日]]="",tbl利用3[[#This Row],[基準単価]]&lt;=0),0,MIN(tbl利用3[[#This Row],[利用分数]],ROUNDDOWN(tbl利用3[[#This Row],[日別区分余裕額]]/(tbl利用3[[#This Row],[基準単価]]/60),0)))</f>
        <v>13</v>
      </c>
      <c r="BK18" s="50">
        <v>3</v>
      </c>
      <c r="BL18" s="71" t="str">
        <f t="shared" si="2"/>
        <v>利用区分１</v>
      </c>
      <c r="BM18" s="45">
        <f>IF(tbl利用3[[#This Row],[利用日]]="","",MAX(0,tbl利用3[[#This Row],[利用分数]]-N(tbl利用3[[#This Row],[切捨分数]])))</f>
        <v>237</v>
      </c>
      <c r="BN18" s="45">
        <f>IF(tbl利用3[[#This Row],[利用日]]="","",tbl利用3[[#This Row],[処理後利用分数]]/60*tbl利用3[[#This Row],[基準単価]])</f>
        <v>8887.5</v>
      </c>
      <c r="BO18" s="45">
        <f>IF(tbl利用3[[#This Row],[日別区分キー]]="","",SUMIFS(tbl利用3[処理後明細基準額],tbl利用3[日別区分キー],tbl利用3[[#This Row],[日別区分キー]]))</f>
        <v>8887.5</v>
      </c>
      <c r="BP18" s="45">
        <f>IF(tbl利用3[[#This Row],[日別区分キー]]="","",ROUNDDOWN(MIN(tbl利用3[[#This Row],[日別区分実支出額]],tbl利用3[[#This Row],[日別区分処理後基準額]]),0))</f>
        <v>8500</v>
      </c>
      <c r="BQ18" s="45">
        <f>IF(tbl利用3[[#This Row],[日別区分キー]]="","",tbl利用3[[#This Row],[日別区分処理前補助額]]-tbl利用3[[#This Row],[日別区分補助額]])</f>
        <v>0</v>
      </c>
      <c r="BR18" s="45">
        <f>IF(OR(tbl利用3[[#This Row],[日別区分キー]]="",tbl利用3[[#This Row],[処理後利用分数]]&lt;=0),"",ROUNDDOWN(MIN(tbl利用3[[#This Row],[日別区分実支出額]],tbl利用3[[#This Row],[日別区分処理後基準額]]-tbl利用3[[#This Row],[基準単価]]/60),0))</f>
        <v>8500</v>
      </c>
      <c r="BS18" s="52">
        <f>IF(tbl利用3[[#This Row],[次の1分切捨時補助額]]="","",tbl利用3[[#This Row],[日別区分補助額]]-tbl利用3[[#This Row],[次の1分切捨時補助額]])</f>
        <v>0</v>
      </c>
      <c r="BT18" s="45">
        <f>IF(tbl利用3[[#This Row],[日別区分キー]]="","",--(COUNTIF(INDEX(tbl利用3[日別区分キー],1):tbl利用3[[#This Row],[日別区分キー]],tbl利用3[[#This Row],[日別区分キー]])=1))</f>
        <v>1</v>
      </c>
      <c r="BU18" s="45">
        <f>IF(tbl利用3[[#This Row],[利用区分]]="","",SUMIFS(tbl利用3[利用分数],tbl利用3[利用区分],tbl利用3[[#This Row],[利用区分]]))</f>
        <v>1470</v>
      </c>
      <c r="BV18" s="45">
        <f>IF(tbl利用3[[#This Row],[利用区分]]="","",MOD(tbl利用3[[#This Row],[区分総利用分数]],60))</f>
        <v>30</v>
      </c>
      <c r="BW18" s="45">
        <f>IF(tbl利用3[[#This Row],[利用区分]]="","",SUMIFS(tbl利用3[切捨分数],tbl利用3[利用区分],tbl利用3[[#This Row],[利用区分]]))</f>
        <v>30</v>
      </c>
      <c r="BX18" s="45" t="str">
        <f>IF(tbl利用3[[#This Row],[利用区分]]="","",IF(tbl利用3[[#This Row],[区分必要切捨分数]]=tbl利用3[[#This Row],[区分入力切捨合計]],"OK","要確認"))</f>
        <v>OK</v>
      </c>
      <c r="BY18"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
      </c>
      <c r="BZ18" s="46"/>
    </row>
    <row r="19" spans="1:78" s="1" customFormat="1" ht="28.5" customHeight="1" x14ac:dyDescent="0.4">
      <c r="A19" s="19">
        <v>12</v>
      </c>
      <c r="B19" s="75"/>
      <c r="C19" s="76"/>
      <c r="D19" s="76"/>
      <c r="E19" s="76"/>
      <c r="F19" s="34"/>
      <c r="G19" s="13"/>
      <c r="H19" s="22" t="s">
        <v>8</v>
      </c>
      <c r="I19" s="14"/>
      <c r="J19" s="22" t="s">
        <v>9</v>
      </c>
      <c r="K19" s="14"/>
      <c r="L19" s="22" t="s">
        <v>8</v>
      </c>
      <c r="M19" s="14"/>
      <c r="N19" s="2" t="str">
        <f t="shared" si="3"/>
        <v/>
      </c>
      <c r="O19" s="22" t="s">
        <v>10</v>
      </c>
      <c r="P19" s="22" t="str">
        <f t="shared" si="17"/>
        <v/>
      </c>
      <c r="Q19" s="3" t="s">
        <v>11</v>
      </c>
      <c r="R19" s="79"/>
      <c r="S19" s="80"/>
      <c r="T19" s="4" t="s">
        <v>12</v>
      </c>
      <c r="U19" s="79"/>
      <c r="V19" s="80"/>
      <c r="W19" s="4" t="s">
        <v>12</v>
      </c>
      <c r="X19" s="80"/>
      <c r="Y19" s="81"/>
      <c r="Z19" s="4" t="s">
        <v>12</v>
      </c>
      <c r="AA19" s="15"/>
      <c r="AB19" s="5" t="str">
        <f t="shared" si="5"/>
        <v/>
      </c>
      <c r="AC19" s="20" t="s">
        <v>8</v>
      </c>
      <c r="AD19" s="6" t="str">
        <f t="shared" si="18"/>
        <v/>
      </c>
      <c r="AE19" s="20" t="s">
        <v>9</v>
      </c>
      <c r="AF19" s="6" t="str">
        <f t="shared" si="19"/>
        <v/>
      </c>
      <c r="AG19" s="20" t="s">
        <v>8</v>
      </c>
      <c r="AH19" s="6" t="str">
        <f t="shared" si="7"/>
        <v/>
      </c>
      <c r="AI19" s="7" t="str">
        <f t="shared" si="20"/>
        <v/>
      </c>
      <c r="AJ19" s="20" t="s">
        <v>10</v>
      </c>
      <c r="AK19" s="8" t="str">
        <f t="shared" si="9"/>
        <v/>
      </c>
      <c r="AL19" s="9" t="s">
        <v>11</v>
      </c>
      <c r="AM19" s="7" t="str">
        <f t="shared" si="10"/>
        <v/>
      </c>
      <c r="AN19" s="20" t="s">
        <v>10</v>
      </c>
      <c r="AO19" s="8" t="str">
        <f t="shared" si="11"/>
        <v/>
      </c>
      <c r="AP19" s="10" t="s">
        <v>11</v>
      </c>
      <c r="AQ19" s="15" t="str" cm="1">
        <f t="array" ref="AQ19">IF(tbl利用3[[#This Row],[利用日]]="","",ROW()-ROW(tbl利用3[#Headers]))</f>
        <v/>
      </c>
      <c r="AR19" s="32" t="str">
        <f t="shared" si="12"/>
        <v/>
      </c>
      <c r="AS19" s="15"/>
      <c r="AT19" s="43" t="str">
        <f t="shared" si="21"/>
        <v/>
      </c>
      <c r="AU19" s="1" t="str">
        <f t="shared" si="14"/>
        <v/>
      </c>
      <c r="AV19" s="1" t="str">
        <f t="shared" si="15"/>
        <v/>
      </c>
      <c r="AW19" s="1" t="str">
        <f>IF(tbl利用3[[#This Row],[利用日]]="","",N(tbl利用3[[#This Row],[利用時間_時]])*60+N(tbl利用3[[#This Row],[利用時間_分]]))</f>
        <v/>
      </c>
      <c r="AX19" s="44" t="str">
        <f t="shared" si="16"/>
        <v/>
      </c>
      <c r="AY19" s="44" t="str">
        <f t="shared" si="1"/>
        <v/>
      </c>
      <c r="AZ19" s="45" t="str">
        <f>IF(tbl利用3[[#This Row],[利用日]]="","",MAX(0,N(tbl利用3[[#This Row],[割引前利用額]])-N(tbl利用3[[#This Row],[割引額]])))</f>
        <v/>
      </c>
      <c r="BA19" s="45" t="str">
        <f>IF(OR(tbl利用3[[#This Row],[利用日]]="",tbl利用3[[#This Row],[利用分数]]&lt;=0),"",N(tbl利用3[[#This Row],[割引前利用額]])/tbl利用3[[#This Row],[利用分数]]*60)</f>
        <v/>
      </c>
      <c r="BB19" s="45" t="str">
        <f>IF(tbl利用3[[#This Row],[利用区分]]="","",_xlfn.XLOOKUP(tbl利用3[[#This Row],[利用区分]],$AQ$4:$AQ$5,$AR$4:$AR$5,"区分未登録"))</f>
        <v/>
      </c>
      <c r="BC19" s="45" t="str">
        <f>IF(OR(tbl利用3[[#This Row],[通常時間単価]]="",NOT(ISNUMBER(tbl利用3[[#This Row],[上限単価]]))),"",MIN(tbl利用3[[#This Row],[通常時間単価]],tbl利用3[[#This Row],[上限単価]]))</f>
        <v/>
      </c>
      <c r="BD19" s="45" t="str">
        <f>IF(tbl利用3[[#This Row],[利用日]]="","",tbl利用3[[#This Row],[利用分数]]/60*tbl利用3[[#This Row],[基準単価]])</f>
        <v/>
      </c>
      <c r="BE19" s="69" t="str">
        <f>IF(OR(tbl利用3[[#This Row],[利用日]]="",tbl利用3[[#This Row],[利用区分]]=""),"",TEXT(tbl利用3[[#This Row],[利用日]],"yyyymmdd")&amp;"|"&amp;tbl利用3[[#This Row],[利用区分]])</f>
        <v/>
      </c>
      <c r="BF19" s="45" t="str">
        <f>IF(tbl利用3[[#This Row],[日別区分キー]]="","",SUMIFS(tbl利用3[明細実支出額],tbl利用3[日別区分キー],tbl利用3[[#This Row],[日別区分キー]]))</f>
        <v/>
      </c>
      <c r="BG19" s="45" t="str">
        <f>IF(tbl利用3[[#This Row],[日別区分キー]]="","",SUMIFS(tbl利用3[処理前明細基準額],tbl利用3[日別区分キー],tbl利用3[[#This Row],[日別区分キー]]))</f>
        <v/>
      </c>
      <c r="BH19" s="45" t="str">
        <f>IF(tbl利用3[[#This Row],[日別区分キー]]="","",ROUNDDOWN(MIN(tbl利用3[[#This Row],[日別区分実支出額]],tbl利用3[[#This Row],[日別区分処理前基準額]]),0))</f>
        <v/>
      </c>
      <c r="BI19" s="45" t="str">
        <f>IF(tbl利用3[[#This Row],[日別区分キー]]="","",MAX(0,tbl利用3[[#This Row],[日別区分処理前基準額]]-tbl利用3[[#This Row],[日別区分実支出額]]))</f>
        <v/>
      </c>
      <c r="BJ19" s="45">
        <f>IF(OR(tbl利用3[[#This Row],[利用日]]="",tbl利用3[[#This Row],[基準単価]]&lt;=0),0,MIN(tbl利用3[[#This Row],[利用分数]],ROUNDDOWN(tbl利用3[[#This Row],[日別区分余裕額]]/(tbl利用3[[#This Row],[基準単価]]/60),0)))</f>
        <v>0</v>
      </c>
      <c r="BK19" s="50"/>
      <c r="BL19" s="71" t="str">
        <f t="shared" si="2"/>
        <v/>
      </c>
      <c r="BM19" s="45" t="str">
        <f>IF(tbl利用3[[#This Row],[利用日]]="","",MAX(0,tbl利用3[[#This Row],[利用分数]]-N(tbl利用3[[#This Row],[切捨分数]])))</f>
        <v/>
      </c>
      <c r="BN19" s="45" t="str">
        <f>IF(tbl利用3[[#This Row],[利用日]]="","",tbl利用3[[#This Row],[処理後利用分数]]/60*tbl利用3[[#This Row],[基準単価]])</f>
        <v/>
      </c>
      <c r="BO19" s="45" t="str">
        <f>IF(tbl利用3[[#This Row],[日別区分キー]]="","",SUMIFS(tbl利用3[処理後明細基準額],tbl利用3[日別区分キー],tbl利用3[[#This Row],[日別区分キー]]))</f>
        <v/>
      </c>
      <c r="BP19" s="45" t="str">
        <f>IF(tbl利用3[[#This Row],[日別区分キー]]="","",ROUNDDOWN(MIN(tbl利用3[[#This Row],[日別区分実支出額]],tbl利用3[[#This Row],[日別区分処理後基準額]]),0))</f>
        <v/>
      </c>
      <c r="BQ19" s="45" t="str">
        <f>IF(tbl利用3[[#This Row],[日別区分キー]]="","",tbl利用3[[#This Row],[日別区分処理前補助額]]-tbl利用3[[#This Row],[日別区分補助額]])</f>
        <v/>
      </c>
      <c r="BR19" s="45" t="str">
        <f>IF(OR(tbl利用3[[#This Row],[日別区分キー]]="",tbl利用3[[#This Row],[処理後利用分数]]&lt;=0),"",ROUNDDOWN(MIN(tbl利用3[[#This Row],[日別区分実支出額]],tbl利用3[[#This Row],[日別区分処理後基準額]]-tbl利用3[[#This Row],[基準単価]]/60),0))</f>
        <v/>
      </c>
      <c r="BS19" s="52" t="str">
        <f>IF(tbl利用3[[#This Row],[次の1分切捨時補助額]]="","",tbl利用3[[#This Row],[日別区分補助額]]-tbl利用3[[#This Row],[次の1分切捨時補助額]])</f>
        <v/>
      </c>
      <c r="BT19" s="45" t="str">
        <f>IF(tbl利用3[[#This Row],[日別区分キー]]="","",--(COUNTIF(INDEX(tbl利用3[日別区分キー],1):tbl利用3[[#This Row],[日別区分キー]],tbl利用3[[#This Row],[日別区分キー]])=1))</f>
        <v/>
      </c>
      <c r="BU19" s="45" t="str">
        <f>IF(tbl利用3[[#This Row],[利用区分]]="","",SUMIFS(tbl利用3[利用分数],tbl利用3[利用区分],tbl利用3[[#This Row],[利用区分]]))</f>
        <v/>
      </c>
      <c r="BV19" s="45" t="str">
        <f>IF(tbl利用3[[#This Row],[利用区分]]="","",MOD(tbl利用3[[#This Row],[区分総利用分数]],60))</f>
        <v/>
      </c>
      <c r="BW19" s="45" t="str">
        <f>IF(tbl利用3[[#This Row],[利用区分]]="","",SUMIFS(tbl利用3[切捨分数],tbl利用3[利用区分],tbl利用3[[#This Row],[利用区分]]))</f>
        <v/>
      </c>
      <c r="BX19" s="45" t="str">
        <f>IF(tbl利用3[[#This Row],[利用区分]]="","",IF(tbl利用3[[#This Row],[区分必要切捨分数]]=tbl利用3[[#This Row],[区分入力切捨合計]],"OK","要確認"))</f>
        <v/>
      </c>
      <c r="BY19"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19" s="46"/>
    </row>
    <row r="20" spans="1:78" s="1" customFormat="1" ht="28.5" customHeight="1" x14ac:dyDescent="0.4">
      <c r="A20" s="19">
        <v>13</v>
      </c>
      <c r="B20" s="75"/>
      <c r="C20" s="76"/>
      <c r="D20" s="76"/>
      <c r="E20" s="76"/>
      <c r="F20" s="34"/>
      <c r="G20" s="13"/>
      <c r="H20" s="22" t="s">
        <v>8</v>
      </c>
      <c r="I20" s="14"/>
      <c r="J20" s="22" t="s">
        <v>9</v>
      </c>
      <c r="K20" s="14"/>
      <c r="L20" s="22" t="s">
        <v>8</v>
      </c>
      <c r="M20" s="14"/>
      <c r="N20" s="2" t="str">
        <f t="shared" si="3"/>
        <v/>
      </c>
      <c r="O20" s="22" t="s">
        <v>10</v>
      </c>
      <c r="P20" s="22" t="str">
        <f t="shared" si="17"/>
        <v/>
      </c>
      <c r="Q20" s="3" t="s">
        <v>11</v>
      </c>
      <c r="R20" s="79"/>
      <c r="S20" s="80"/>
      <c r="T20" s="4" t="s">
        <v>12</v>
      </c>
      <c r="U20" s="79"/>
      <c r="V20" s="80"/>
      <c r="W20" s="4" t="s">
        <v>12</v>
      </c>
      <c r="X20" s="80"/>
      <c r="Y20" s="81"/>
      <c r="Z20" s="4" t="s">
        <v>12</v>
      </c>
      <c r="AA20" s="15"/>
      <c r="AB20" s="5" t="str">
        <f t="shared" si="5"/>
        <v/>
      </c>
      <c r="AC20" s="20" t="s">
        <v>8</v>
      </c>
      <c r="AD20" s="6" t="str">
        <f t="shared" si="18"/>
        <v/>
      </c>
      <c r="AE20" s="20" t="s">
        <v>9</v>
      </c>
      <c r="AF20" s="6" t="str">
        <f t="shared" si="19"/>
        <v/>
      </c>
      <c r="AG20" s="20" t="s">
        <v>8</v>
      </c>
      <c r="AH20" s="6" t="str">
        <f t="shared" si="7"/>
        <v/>
      </c>
      <c r="AI20" s="7" t="str">
        <f t="shared" si="20"/>
        <v/>
      </c>
      <c r="AJ20" s="20" t="s">
        <v>10</v>
      </c>
      <c r="AK20" s="8" t="str">
        <f t="shared" si="9"/>
        <v/>
      </c>
      <c r="AL20" s="9" t="s">
        <v>11</v>
      </c>
      <c r="AM20" s="7" t="str">
        <f t="shared" si="10"/>
        <v/>
      </c>
      <c r="AN20" s="20" t="s">
        <v>10</v>
      </c>
      <c r="AO20" s="8" t="str">
        <f t="shared" si="11"/>
        <v/>
      </c>
      <c r="AP20" s="10" t="s">
        <v>11</v>
      </c>
      <c r="AQ20" s="15" t="str" cm="1">
        <f t="array" ref="AQ20">IF(tbl利用3[[#This Row],[利用日]]="","",ROW()-ROW(tbl利用3[#Headers]))</f>
        <v/>
      </c>
      <c r="AR20" s="32" t="str">
        <f t="shared" si="12"/>
        <v/>
      </c>
      <c r="AS20" s="15"/>
      <c r="AT20" s="43" t="str">
        <f t="shared" si="21"/>
        <v/>
      </c>
      <c r="AU20" s="1" t="str">
        <f t="shared" si="14"/>
        <v/>
      </c>
      <c r="AV20" s="1" t="str">
        <f t="shared" si="15"/>
        <v/>
      </c>
      <c r="AW20" s="1" t="str">
        <f>IF(tbl利用3[[#This Row],[利用日]]="","",N(tbl利用3[[#This Row],[利用時間_時]])*60+N(tbl利用3[[#This Row],[利用時間_分]]))</f>
        <v/>
      </c>
      <c r="AX20" s="44" t="str">
        <f t="shared" si="16"/>
        <v/>
      </c>
      <c r="AY20" s="44" t="str">
        <f t="shared" si="1"/>
        <v/>
      </c>
      <c r="AZ20" s="45" t="str">
        <f>IF(tbl利用3[[#This Row],[利用日]]="","",MAX(0,N(tbl利用3[[#This Row],[割引前利用額]])-N(tbl利用3[[#This Row],[割引額]])))</f>
        <v/>
      </c>
      <c r="BA20" s="45" t="str">
        <f>IF(OR(tbl利用3[[#This Row],[利用日]]="",tbl利用3[[#This Row],[利用分数]]&lt;=0),"",N(tbl利用3[[#This Row],[割引前利用額]])/tbl利用3[[#This Row],[利用分数]]*60)</f>
        <v/>
      </c>
      <c r="BB20" s="45" t="str">
        <f>IF(tbl利用3[[#This Row],[利用区分]]="","",_xlfn.XLOOKUP(tbl利用3[[#This Row],[利用区分]],$AQ$4:$AQ$5,$AR$4:$AR$5,"区分未登録"))</f>
        <v/>
      </c>
      <c r="BC20" s="45" t="str">
        <f>IF(OR(tbl利用3[[#This Row],[通常時間単価]]="",NOT(ISNUMBER(tbl利用3[[#This Row],[上限単価]]))),"",MIN(tbl利用3[[#This Row],[通常時間単価]],tbl利用3[[#This Row],[上限単価]]))</f>
        <v/>
      </c>
      <c r="BD20" s="45" t="str">
        <f>IF(tbl利用3[[#This Row],[利用日]]="","",tbl利用3[[#This Row],[利用分数]]/60*tbl利用3[[#This Row],[基準単価]])</f>
        <v/>
      </c>
      <c r="BE20" s="69" t="str">
        <f>IF(OR(tbl利用3[[#This Row],[利用日]]="",tbl利用3[[#This Row],[利用区分]]=""),"",TEXT(tbl利用3[[#This Row],[利用日]],"yyyymmdd")&amp;"|"&amp;tbl利用3[[#This Row],[利用区分]])</f>
        <v/>
      </c>
      <c r="BF20" s="45" t="str">
        <f>IF(tbl利用3[[#This Row],[日別区分キー]]="","",SUMIFS(tbl利用3[明細実支出額],tbl利用3[日別区分キー],tbl利用3[[#This Row],[日別区分キー]]))</f>
        <v/>
      </c>
      <c r="BG20" s="45" t="str">
        <f>IF(tbl利用3[[#This Row],[日別区分キー]]="","",SUMIFS(tbl利用3[処理前明細基準額],tbl利用3[日別区分キー],tbl利用3[[#This Row],[日別区分キー]]))</f>
        <v/>
      </c>
      <c r="BH20" s="45" t="str">
        <f>IF(tbl利用3[[#This Row],[日別区分キー]]="","",ROUNDDOWN(MIN(tbl利用3[[#This Row],[日別区分実支出額]],tbl利用3[[#This Row],[日別区分処理前基準額]]),0))</f>
        <v/>
      </c>
      <c r="BI20" s="45" t="str">
        <f>IF(tbl利用3[[#This Row],[日別区分キー]]="","",MAX(0,tbl利用3[[#This Row],[日別区分処理前基準額]]-tbl利用3[[#This Row],[日別区分実支出額]]))</f>
        <v/>
      </c>
      <c r="BJ20" s="45">
        <f>IF(OR(tbl利用3[[#This Row],[利用日]]="",tbl利用3[[#This Row],[基準単価]]&lt;=0),0,MIN(tbl利用3[[#This Row],[利用分数]],ROUNDDOWN(tbl利用3[[#This Row],[日別区分余裕額]]/(tbl利用3[[#This Row],[基準単価]]/60),0)))</f>
        <v>0</v>
      </c>
      <c r="BK20" s="50"/>
      <c r="BL20" s="71" t="str">
        <f t="shared" si="2"/>
        <v/>
      </c>
      <c r="BM20" s="45" t="str">
        <f>IF(tbl利用3[[#This Row],[利用日]]="","",MAX(0,tbl利用3[[#This Row],[利用分数]]-N(tbl利用3[[#This Row],[切捨分数]])))</f>
        <v/>
      </c>
      <c r="BN20" s="45" t="str">
        <f>IF(tbl利用3[[#This Row],[利用日]]="","",tbl利用3[[#This Row],[処理後利用分数]]/60*tbl利用3[[#This Row],[基準単価]])</f>
        <v/>
      </c>
      <c r="BO20" s="45" t="str">
        <f>IF(tbl利用3[[#This Row],[日別区分キー]]="","",SUMIFS(tbl利用3[処理後明細基準額],tbl利用3[日別区分キー],tbl利用3[[#This Row],[日別区分キー]]))</f>
        <v/>
      </c>
      <c r="BP20" s="45" t="str">
        <f>IF(tbl利用3[[#This Row],[日別区分キー]]="","",ROUNDDOWN(MIN(tbl利用3[[#This Row],[日別区分実支出額]],tbl利用3[[#This Row],[日別区分処理後基準額]]),0))</f>
        <v/>
      </c>
      <c r="BQ20" s="45" t="str">
        <f>IF(tbl利用3[[#This Row],[日別区分キー]]="","",tbl利用3[[#This Row],[日別区分処理前補助額]]-tbl利用3[[#This Row],[日別区分補助額]])</f>
        <v/>
      </c>
      <c r="BR20" s="45" t="str">
        <f>IF(OR(tbl利用3[[#This Row],[日別区分キー]]="",tbl利用3[[#This Row],[処理後利用分数]]&lt;=0),"",ROUNDDOWN(MIN(tbl利用3[[#This Row],[日別区分実支出額]],tbl利用3[[#This Row],[日別区分処理後基準額]]-tbl利用3[[#This Row],[基準単価]]/60),0))</f>
        <v/>
      </c>
      <c r="BS20" s="52" t="str">
        <f>IF(tbl利用3[[#This Row],[次の1分切捨時補助額]]="","",tbl利用3[[#This Row],[日別区分補助額]]-tbl利用3[[#This Row],[次の1分切捨時補助額]])</f>
        <v/>
      </c>
      <c r="BT20" s="45" t="str">
        <f>IF(tbl利用3[[#This Row],[日別区分キー]]="","",--(COUNTIF(INDEX(tbl利用3[日別区分キー],1):tbl利用3[[#This Row],[日別区分キー]],tbl利用3[[#This Row],[日別区分キー]])=1))</f>
        <v/>
      </c>
      <c r="BU20" s="45" t="str">
        <f>IF(tbl利用3[[#This Row],[利用区分]]="","",SUMIFS(tbl利用3[利用分数],tbl利用3[利用区分],tbl利用3[[#This Row],[利用区分]]))</f>
        <v/>
      </c>
      <c r="BV20" s="45" t="str">
        <f>IF(tbl利用3[[#This Row],[利用区分]]="","",MOD(tbl利用3[[#This Row],[区分総利用分数]],60))</f>
        <v/>
      </c>
      <c r="BW20" s="45" t="str">
        <f>IF(tbl利用3[[#This Row],[利用区分]]="","",SUMIFS(tbl利用3[切捨分数],tbl利用3[利用区分],tbl利用3[[#This Row],[利用区分]]))</f>
        <v/>
      </c>
      <c r="BX20" s="45" t="str">
        <f>IF(tbl利用3[[#This Row],[利用区分]]="","",IF(tbl利用3[[#This Row],[区分必要切捨分数]]=tbl利用3[[#This Row],[区分入力切捨合計]],"OK","要確認"))</f>
        <v/>
      </c>
      <c r="BY20"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20" s="46"/>
    </row>
    <row r="21" spans="1:78" s="1" customFormat="1" ht="28.5" customHeight="1" x14ac:dyDescent="0.4">
      <c r="A21" s="19">
        <v>14</v>
      </c>
      <c r="B21" s="75"/>
      <c r="C21" s="76"/>
      <c r="D21" s="76"/>
      <c r="E21" s="76"/>
      <c r="F21" s="34"/>
      <c r="G21" s="13"/>
      <c r="H21" s="22" t="s">
        <v>8</v>
      </c>
      <c r="I21" s="14"/>
      <c r="J21" s="22" t="s">
        <v>9</v>
      </c>
      <c r="K21" s="14"/>
      <c r="L21" s="22" t="s">
        <v>8</v>
      </c>
      <c r="M21" s="14"/>
      <c r="N21" s="2" t="str">
        <f t="shared" si="3"/>
        <v/>
      </c>
      <c r="O21" s="22" t="s">
        <v>10</v>
      </c>
      <c r="P21" s="22" t="str">
        <f t="shared" si="17"/>
        <v/>
      </c>
      <c r="Q21" s="3" t="s">
        <v>11</v>
      </c>
      <c r="R21" s="79"/>
      <c r="S21" s="80"/>
      <c r="T21" s="4" t="s">
        <v>12</v>
      </c>
      <c r="U21" s="79"/>
      <c r="V21" s="80"/>
      <c r="W21" s="4" t="s">
        <v>12</v>
      </c>
      <c r="X21" s="80"/>
      <c r="Y21" s="81"/>
      <c r="Z21" s="4" t="s">
        <v>12</v>
      </c>
      <c r="AA21" s="15"/>
      <c r="AB21" s="5" t="str">
        <f t="shared" si="5"/>
        <v/>
      </c>
      <c r="AC21" s="20" t="s">
        <v>8</v>
      </c>
      <c r="AD21" s="6" t="str">
        <f t="shared" si="18"/>
        <v/>
      </c>
      <c r="AE21" s="20" t="s">
        <v>9</v>
      </c>
      <c r="AF21" s="6" t="str">
        <f t="shared" si="19"/>
        <v/>
      </c>
      <c r="AG21" s="20" t="s">
        <v>8</v>
      </c>
      <c r="AH21" s="6" t="str">
        <f t="shared" si="7"/>
        <v/>
      </c>
      <c r="AI21" s="7" t="str">
        <f t="shared" si="20"/>
        <v/>
      </c>
      <c r="AJ21" s="20" t="s">
        <v>10</v>
      </c>
      <c r="AK21" s="8" t="str">
        <f t="shared" si="9"/>
        <v/>
      </c>
      <c r="AL21" s="9" t="s">
        <v>11</v>
      </c>
      <c r="AM21" s="7" t="str">
        <f t="shared" si="10"/>
        <v/>
      </c>
      <c r="AN21" s="20" t="s">
        <v>10</v>
      </c>
      <c r="AO21" s="8" t="str">
        <f t="shared" si="11"/>
        <v/>
      </c>
      <c r="AP21" s="10" t="s">
        <v>11</v>
      </c>
      <c r="AQ21" s="15" t="str" cm="1">
        <f t="array" ref="AQ21">IF(tbl利用3[[#This Row],[利用日]]="","",ROW()-ROW(tbl利用3[#Headers]))</f>
        <v/>
      </c>
      <c r="AR21" s="32" t="str">
        <f t="shared" si="12"/>
        <v/>
      </c>
      <c r="AS21" s="15"/>
      <c r="AT21" s="43" t="str">
        <f t="shared" si="21"/>
        <v/>
      </c>
      <c r="AU21" s="1" t="str">
        <f t="shared" si="14"/>
        <v/>
      </c>
      <c r="AV21" s="1" t="str">
        <f t="shared" si="15"/>
        <v/>
      </c>
      <c r="AW21" s="1" t="str">
        <f>IF(tbl利用3[[#This Row],[利用日]]="","",N(tbl利用3[[#This Row],[利用時間_時]])*60+N(tbl利用3[[#This Row],[利用時間_分]]))</f>
        <v/>
      </c>
      <c r="AX21" s="44" t="str">
        <f t="shared" si="16"/>
        <v/>
      </c>
      <c r="AY21" s="44" t="str">
        <f t="shared" si="1"/>
        <v/>
      </c>
      <c r="AZ21" s="45" t="str">
        <f>IF(tbl利用3[[#This Row],[利用日]]="","",MAX(0,N(tbl利用3[[#This Row],[割引前利用額]])-N(tbl利用3[[#This Row],[割引額]])))</f>
        <v/>
      </c>
      <c r="BA21" s="45" t="str">
        <f>IF(OR(tbl利用3[[#This Row],[利用日]]="",tbl利用3[[#This Row],[利用分数]]&lt;=0),"",N(tbl利用3[[#This Row],[割引前利用額]])/tbl利用3[[#This Row],[利用分数]]*60)</f>
        <v/>
      </c>
      <c r="BB21" s="45" t="str">
        <f>IF(tbl利用3[[#This Row],[利用区分]]="","",_xlfn.XLOOKUP(tbl利用3[[#This Row],[利用区分]],$AQ$4:$AQ$5,$AR$4:$AR$5,"区分未登録"))</f>
        <v/>
      </c>
      <c r="BC21" s="45" t="str">
        <f>IF(OR(tbl利用3[[#This Row],[通常時間単価]]="",NOT(ISNUMBER(tbl利用3[[#This Row],[上限単価]]))),"",MIN(tbl利用3[[#This Row],[通常時間単価]],tbl利用3[[#This Row],[上限単価]]))</f>
        <v/>
      </c>
      <c r="BD21" s="45" t="str">
        <f>IF(tbl利用3[[#This Row],[利用日]]="","",tbl利用3[[#This Row],[利用分数]]/60*tbl利用3[[#This Row],[基準単価]])</f>
        <v/>
      </c>
      <c r="BE21" s="69" t="str">
        <f>IF(OR(tbl利用3[[#This Row],[利用日]]="",tbl利用3[[#This Row],[利用区分]]=""),"",TEXT(tbl利用3[[#This Row],[利用日]],"yyyymmdd")&amp;"|"&amp;tbl利用3[[#This Row],[利用区分]])</f>
        <v/>
      </c>
      <c r="BF21" s="45" t="str">
        <f>IF(tbl利用3[[#This Row],[日別区分キー]]="","",SUMIFS(tbl利用3[明細実支出額],tbl利用3[日別区分キー],tbl利用3[[#This Row],[日別区分キー]]))</f>
        <v/>
      </c>
      <c r="BG21" s="45" t="str">
        <f>IF(tbl利用3[[#This Row],[日別区分キー]]="","",SUMIFS(tbl利用3[処理前明細基準額],tbl利用3[日別区分キー],tbl利用3[[#This Row],[日別区分キー]]))</f>
        <v/>
      </c>
      <c r="BH21" s="45" t="str">
        <f>IF(tbl利用3[[#This Row],[日別区分キー]]="","",ROUNDDOWN(MIN(tbl利用3[[#This Row],[日別区分実支出額]],tbl利用3[[#This Row],[日別区分処理前基準額]]),0))</f>
        <v/>
      </c>
      <c r="BI21" s="45" t="str">
        <f>IF(tbl利用3[[#This Row],[日別区分キー]]="","",MAX(0,tbl利用3[[#This Row],[日別区分処理前基準額]]-tbl利用3[[#This Row],[日別区分実支出額]]))</f>
        <v/>
      </c>
      <c r="BJ21" s="45">
        <f>IF(OR(tbl利用3[[#This Row],[利用日]]="",tbl利用3[[#This Row],[基準単価]]&lt;=0),0,MIN(tbl利用3[[#This Row],[利用分数]],ROUNDDOWN(tbl利用3[[#This Row],[日別区分余裕額]]/(tbl利用3[[#This Row],[基準単価]]/60),0)))</f>
        <v>0</v>
      </c>
      <c r="BK21" s="50"/>
      <c r="BL21" s="71" t="str">
        <f t="shared" si="2"/>
        <v/>
      </c>
      <c r="BM21" s="45" t="str">
        <f>IF(tbl利用3[[#This Row],[利用日]]="","",MAX(0,tbl利用3[[#This Row],[利用分数]]-N(tbl利用3[[#This Row],[切捨分数]])))</f>
        <v/>
      </c>
      <c r="BN21" s="45" t="str">
        <f>IF(tbl利用3[[#This Row],[利用日]]="","",tbl利用3[[#This Row],[処理後利用分数]]/60*tbl利用3[[#This Row],[基準単価]])</f>
        <v/>
      </c>
      <c r="BO21" s="45" t="str">
        <f>IF(tbl利用3[[#This Row],[日別区分キー]]="","",SUMIFS(tbl利用3[処理後明細基準額],tbl利用3[日別区分キー],tbl利用3[[#This Row],[日別区分キー]]))</f>
        <v/>
      </c>
      <c r="BP21" s="45" t="str">
        <f>IF(tbl利用3[[#This Row],[日別区分キー]]="","",ROUNDDOWN(MIN(tbl利用3[[#This Row],[日別区分実支出額]],tbl利用3[[#This Row],[日別区分処理後基準額]]),0))</f>
        <v/>
      </c>
      <c r="BQ21" s="45" t="str">
        <f>IF(tbl利用3[[#This Row],[日別区分キー]]="","",tbl利用3[[#This Row],[日別区分処理前補助額]]-tbl利用3[[#This Row],[日別区分補助額]])</f>
        <v/>
      </c>
      <c r="BR21" s="45" t="str">
        <f>IF(OR(tbl利用3[[#This Row],[日別区分キー]]="",tbl利用3[[#This Row],[処理後利用分数]]&lt;=0),"",ROUNDDOWN(MIN(tbl利用3[[#This Row],[日別区分実支出額]],tbl利用3[[#This Row],[日別区分処理後基準額]]-tbl利用3[[#This Row],[基準単価]]/60),0))</f>
        <v/>
      </c>
      <c r="BS21" s="52" t="str">
        <f>IF(tbl利用3[[#This Row],[次の1分切捨時補助額]]="","",tbl利用3[[#This Row],[日別区分補助額]]-tbl利用3[[#This Row],[次の1分切捨時補助額]])</f>
        <v/>
      </c>
      <c r="BT21" s="45" t="str">
        <f>IF(tbl利用3[[#This Row],[日別区分キー]]="","",--(COUNTIF(INDEX(tbl利用3[日別区分キー],1):tbl利用3[[#This Row],[日別区分キー]],tbl利用3[[#This Row],[日別区分キー]])=1))</f>
        <v/>
      </c>
      <c r="BU21" s="45" t="str">
        <f>IF(tbl利用3[[#This Row],[利用区分]]="","",SUMIFS(tbl利用3[利用分数],tbl利用3[利用区分],tbl利用3[[#This Row],[利用区分]]))</f>
        <v/>
      </c>
      <c r="BV21" s="45" t="str">
        <f>IF(tbl利用3[[#This Row],[利用区分]]="","",MOD(tbl利用3[[#This Row],[区分総利用分数]],60))</f>
        <v/>
      </c>
      <c r="BW21" s="45" t="str">
        <f>IF(tbl利用3[[#This Row],[利用区分]]="","",SUMIFS(tbl利用3[切捨分数],tbl利用3[利用区分],tbl利用3[[#This Row],[利用区分]]))</f>
        <v/>
      </c>
      <c r="BX21" s="45" t="str">
        <f>IF(tbl利用3[[#This Row],[利用区分]]="","",IF(tbl利用3[[#This Row],[区分必要切捨分数]]=tbl利用3[[#This Row],[区分入力切捨合計]],"OK","要確認"))</f>
        <v/>
      </c>
      <c r="BY21"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21" s="46"/>
    </row>
    <row r="22" spans="1:78" s="1" customFormat="1" ht="28.5" customHeight="1" x14ac:dyDescent="0.4">
      <c r="A22" s="19">
        <v>15</v>
      </c>
      <c r="B22" s="75"/>
      <c r="C22" s="76"/>
      <c r="D22" s="76"/>
      <c r="E22" s="76"/>
      <c r="F22" s="34"/>
      <c r="G22" s="13"/>
      <c r="H22" s="22" t="s">
        <v>8</v>
      </c>
      <c r="I22" s="14"/>
      <c r="J22" s="22" t="s">
        <v>9</v>
      </c>
      <c r="K22" s="14"/>
      <c r="L22" s="22" t="s">
        <v>8</v>
      </c>
      <c r="M22" s="14"/>
      <c r="N22" s="2" t="str">
        <f t="shared" si="3"/>
        <v/>
      </c>
      <c r="O22" s="22" t="s">
        <v>10</v>
      </c>
      <c r="P22" s="22" t="str">
        <f t="shared" si="17"/>
        <v/>
      </c>
      <c r="Q22" s="3" t="s">
        <v>11</v>
      </c>
      <c r="R22" s="79"/>
      <c r="S22" s="80"/>
      <c r="T22" s="4" t="s">
        <v>12</v>
      </c>
      <c r="U22" s="79"/>
      <c r="V22" s="80"/>
      <c r="W22" s="4" t="s">
        <v>12</v>
      </c>
      <c r="X22" s="80"/>
      <c r="Y22" s="81"/>
      <c r="Z22" s="4" t="s">
        <v>12</v>
      </c>
      <c r="AA22" s="15"/>
      <c r="AB22" s="5" t="str">
        <f t="shared" si="5"/>
        <v/>
      </c>
      <c r="AC22" s="20" t="s">
        <v>8</v>
      </c>
      <c r="AD22" s="6" t="str">
        <f t="shared" si="18"/>
        <v/>
      </c>
      <c r="AE22" s="20" t="s">
        <v>9</v>
      </c>
      <c r="AF22" s="6" t="str">
        <f t="shared" si="19"/>
        <v/>
      </c>
      <c r="AG22" s="20" t="s">
        <v>8</v>
      </c>
      <c r="AH22" s="6" t="str">
        <f t="shared" si="7"/>
        <v/>
      </c>
      <c r="AI22" s="7" t="str">
        <f t="shared" si="20"/>
        <v/>
      </c>
      <c r="AJ22" s="20" t="s">
        <v>10</v>
      </c>
      <c r="AK22" s="8" t="str">
        <f t="shared" si="9"/>
        <v/>
      </c>
      <c r="AL22" s="9" t="s">
        <v>11</v>
      </c>
      <c r="AM22" s="7" t="str">
        <f t="shared" si="10"/>
        <v/>
      </c>
      <c r="AN22" s="20" t="s">
        <v>10</v>
      </c>
      <c r="AO22" s="8" t="str">
        <f t="shared" si="11"/>
        <v/>
      </c>
      <c r="AP22" s="10" t="s">
        <v>11</v>
      </c>
      <c r="AQ22" s="15" t="str" cm="1">
        <f t="array" ref="AQ22">IF(tbl利用3[[#This Row],[利用日]]="","",ROW()-ROW(tbl利用3[#Headers]))</f>
        <v/>
      </c>
      <c r="AR22" s="32" t="str">
        <f t="shared" si="12"/>
        <v/>
      </c>
      <c r="AS22" s="15"/>
      <c r="AT22" s="43" t="str">
        <f t="shared" si="21"/>
        <v/>
      </c>
      <c r="AU22" s="1" t="str">
        <f t="shared" si="14"/>
        <v/>
      </c>
      <c r="AV22" s="1" t="str">
        <f t="shared" si="15"/>
        <v/>
      </c>
      <c r="AW22" s="1" t="str">
        <f>IF(tbl利用3[[#This Row],[利用日]]="","",N(tbl利用3[[#This Row],[利用時間_時]])*60+N(tbl利用3[[#This Row],[利用時間_分]]))</f>
        <v/>
      </c>
      <c r="AX22" s="44" t="str">
        <f t="shared" si="16"/>
        <v/>
      </c>
      <c r="AY22" s="44" t="str">
        <f t="shared" si="1"/>
        <v/>
      </c>
      <c r="AZ22" s="45" t="str">
        <f>IF(tbl利用3[[#This Row],[利用日]]="","",MAX(0,N(tbl利用3[[#This Row],[割引前利用額]])-N(tbl利用3[[#This Row],[割引額]])))</f>
        <v/>
      </c>
      <c r="BA22" s="45" t="str">
        <f>IF(OR(tbl利用3[[#This Row],[利用日]]="",tbl利用3[[#This Row],[利用分数]]&lt;=0),"",N(tbl利用3[[#This Row],[割引前利用額]])/tbl利用3[[#This Row],[利用分数]]*60)</f>
        <v/>
      </c>
      <c r="BB22" s="45" t="str">
        <f>IF(tbl利用3[[#This Row],[利用区分]]="","",_xlfn.XLOOKUP(tbl利用3[[#This Row],[利用区分]],$AQ$4:$AQ$5,$AR$4:$AR$5,"区分未登録"))</f>
        <v/>
      </c>
      <c r="BC22" s="45" t="str">
        <f>IF(OR(tbl利用3[[#This Row],[通常時間単価]]="",NOT(ISNUMBER(tbl利用3[[#This Row],[上限単価]]))),"",MIN(tbl利用3[[#This Row],[通常時間単価]],tbl利用3[[#This Row],[上限単価]]))</f>
        <v/>
      </c>
      <c r="BD22" s="45" t="str">
        <f>IF(tbl利用3[[#This Row],[利用日]]="","",tbl利用3[[#This Row],[利用分数]]/60*tbl利用3[[#This Row],[基準単価]])</f>
        <v/>
      </c>
      <c r="BE22" s="69" t="str">
        <f>IF(OR(tbl利用3[[#This Row],[利用日]]="",tbl利用3[[#This Row],[利用区分]]=""),"",TEXT(tbl利用3[[#This Row],[利用日]],"yyyymmdd")&amp;"|"&amp;tbl利用3[[#This Row],[利用区分]])</f>
        <v/>
      </c>
      <c r="BF22" s="45" t="str">
        <f>IF(tbl利用3[[#This Row],[日別区分キー]]="","",SUMIFS(tbl利用3[明細実支出額],tbl利用3[日別区分キー],tbl利用3[[#This Row],[日別区分キー]]))</f>
        <v/>
      </c>
      <c r="BG22" s="45" t="str">
        <f>IF(tbl利用3[[#This Row],[日別区分キー]]="","",SUMIFS(tbl利用3[処理前明細基準額],tbl利用3[日別区分キー],tbl利用3[[#This Row],[日別区分キー]]))</f>
        <v/>
      </c>
      <c r="BH22" s="45" t="str">
        <f>IF(tbl利用3[[#This Row],[日別区分キー]]="","",ROUNDDOWN(MIN(tbl利用3[[#This Row],[日別区分実支出額]],tbl利用3[[#This Row],[日別区分処理前基準額]]),0))</f>
        <v/>
      </c>
      <c r="BI22" s="45" t="str">
        <f>IF(tbl利用3[[#This Row],[日別区分キー]]="","",MAX(0,tbl利用3[[#This Row],[日別区分処理前基準額]]-tbl利用3[[#This Row],[日別区分実支出額]]))</f>
        <v/>
      </c>
      <c r="BJ22" s="45">
        <f>IF(OR(tbl利用3[[#This Row],[利用日]]="",tbl利用3[[#This Row],[基準単価]]&lt;=0),0,MIN(tbl利用3[[#This Row],[利用分数]],ROUNDDOWN(tbl利用3[[#This Row],[日別区分余裕額]]/(tbl利用3[[#This Row],[基準単価]]/60),0)))</f>
        <v>0</v>
      </c>
      <c r="BK22" s="50"/>
      <c r="BL22" s="71" t="str">
        <f t="shared" si="2"/>
        <v/>
      </c>
      <c r="BM22" s="45" t="str">
        <f>IF(tbl利用3[[#This Row],[利用日]]="","",MAX(0,tbl利用3[[#This Row],[利用分数]]-N(tbl利用3[[#This Row],[切捨分数]])))</f>
        <v/>
      </c>
      <c r="BN22" s="45" t="str">
        <f>IF(tbl利用3[[#This Row],[利用日]]="","",tbl利用3[[#This Row],[処理後利用分数]]/60*tbl利用3[[#This Row],[基準単価]])</f>
        <v/>
      </c>
      <c r="BO22" s="45" t="str">
        <f>IF(tbl利用3[[#This Row],[日別区分キー]]="","",SUMIFS(tbl利用3[処理後明細基準額],tbl利用3[日別区分キー],tbl利用3[[#This Row],[日別区分キー]]))</f>
        <v/>
      </c>
      <c r="BP22" s="45" t="str">
        <f>IF(tbl利用3[[#This Row],[日別区分キー]]="","",ROUNDDOWN(MIN(tbl利用3[[#This Row],[日別区分実支出額]],tbl利用3[[#This Row],[日別区分処理後基準額]]),0))</f>
        <v/>
      </c>
      <c r="BQ22" s="45" t="str">
        <f>IF(tbl利用3[[#This Row],[日別区分キー]]="","",tbl利用3[[#This Row],[日別区分処理前補助額]]-tbl利用3[[#This Row],[日別区分補助額]])</f>
        <v/>
      </c>
      <c r="BR22" s="45" t="str">
        <f>IF(OR(tbl利用3[[#This Row],[日別区分キー]]="",tbl利用3[[#This Row],[処理後利用分数]]&lt;=0),"",ROUNDDOWN(MIN(tbl利用3[[#This Row],[日別区分実支出額]],tbl利用3[[#This Row],[日別区分処理後基準額]]-tbl利用3[[#This Row],[基準単価]]/60),0))</f>
        <v/>
      </c>
      <c r="BS22" s="52" t="str">
        <f>IF(tbl利用3[[#This Row],[次の1分切捨時補助額]]="","",tbl利用3[[#This Row],[日別区分補助額]]-tbl利用3[[#This Row],[次の1分切捨時補助額]])</f>
        <v/>
      </c>
      <c r="BT22" s="45" t="str">
        <f>IF(tbl利用3[[#This Row],[日別区分キー]]="","",--(COUNTIF(INDEX(tbl利用3[日別区分キー],1):tbl利用3[[#This Row],[日別区分キー]],tbl利用3[[#This Row],[日別区分キー]])=1))</f>
        <v/>
      </c>
      <c r="BU22" s="45" t="str">
        <f>IF(tbl利用3[[#This Row],[利用区分]]="","",SUMIFS(tbl利用3[利用分数],tbl利用3[利用区分],tbl利用3[[#This Row],[利用区分]]))</f>
        <v/>
      </c>
      <c r="BV22" s="45" t="str">
        <f>IF(tbl利用3[[#This Row],[利用区分]]="","",MOD(tbl利用3[[#This Row],[区分総利用分数]],60))</f>
        <v/>
      </c>
      <c r="BW22" s="45" t="str">
        <f>IF(tbl利用3[[#This Row],[利用区分]]="","",SUMIFS(tbl利用3[切捨分数],tbl利用3[利用区分],tbl利用3[[#This Row],[利用区分]]))</f>
        <v/>
      </c>
      <c r="BX22" s="45" t="str">
        <f>IF(tbl利用3[[#This Row],[利用区分]]="","",IF(tbl利用3[[#This Row],[区分必要切捨分数]]=tbl利用3[[#This Row],[区分入力切捨合計]],"OK","要確認"))</f>
        <v/>
      </c>
      <c r="BY22"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22" s="46"/>
    </row>
    <row r="23" spans="1:78" s="1" customFormat="1" ht="28.5" customHeight="1" x14ac:dyDescent="0.4">
      <c r="A23" s="19">
        <v>16</v>
      </c>
      <c r="B23" s="75"/>
      <c r="C23" s="76"/>
      <c r="D23" s="76"/>
      <c r="E23" s="76"/>
      <c r="F23" s="34"/>
      <c r="G23" s="13"/>
      <c r="H23" s="22" t="s">
        <v>8</v>
      </c>
      <c r="I23" s="14"/>
      <c r="J23" s="22" t="s">
        <v>9</v>
      </c>
      <c r="K23" s="14"/>
      <c r="L23" s="22" t="s">
        <v>8</v>
      </c>
      <c r="M23" s="14"/>
      <c r="N23" s="2" t="str">
        <f t="shared" si="3"/>
        <v/>
      </c>
      <c r="O23" s="22" t="s">
        <v>10</v>
      </c>
      <c r="P23" s="22" t="str">
        <f t="shared" si="17"/>
        <v/>
      </c>
      <c r="Q23" s="3" t="s">
        <v>11</v>
      </c>
      <c r="R23" s="79"/>
      <c r="S23" s="80"/>
      <c r="T23" s="4" t="s">
        <v>12</v>
      </c>
      <c r="U23" s="79"/>
      <c r="V23" s="80"/>
      <c r="W23" s="4" t="s">
        <v>12</v>
      </c>
      <c r="X23" s="80"/>
      <c r="Y23" s="81"/>
      <c r="Z23" s="4" t="s">
        <v>12</v>
      </c>
      <c r="AA23" s="15"/>
      <c r="AB23" s="5" t="str">
        <f t="shared" si="5"/>
        <v/>
      </c>
      <c r="AC23" s="20" t="s">
        <v>8</v>
      </c>
      <c r="AD23" s="6" t="str">
        <f t="shared" si="18"/>
        <v/>
      </c>
      <c r="AE23" s="20" t="s">
        <v>9</v>
      </c>
      <c r="AF23" s="6" t="str">
        <f t="shared" si="19"/>
        <v/>
      </c>
      <c r="AG23" s="20" t="s">
        <v>8</v>
      </c>
      <c r="AH23" s="6" t="str">
        <f t="shared" si="7"/>
        <v/>
      </c>
      <c r="AI23" s="7" t="str">
        <f t="shared" si="20"/>
        <v/>
      </c>
      <c r="AJ23" s="20" t="s">
        <v>10</v>
      </c>
      <c r="AK23" s="8" t="str">
        <f t="shared" si="9"/>
        <v/>
      </c>
      <c r="AL23" s="9" t="s">
        <v>11</v>
      </c>
      <c r="AM23" s="7" t="str">
        <f t="shared" si="10"/>
        <v/>
      </c>
      <c r="AN23" s="20" t="s">
        <v>10</v>
      </c>
      <c r="AO23" s="8" t="str">
        <f t="shared" si="11"/>
        <v/>
      </c>
      <c r="AP23" s="10" t="s">
        <v>11</v>
      </c>
      <c r="AQ23" s="15" t="str" cm="1">
        <f t="array" ref="AQ23">IF(tbl利用3[[#This Row],[利用日]]="","",ROW()-ROW(tbl利用3[#Headers]))</f>
        <v/>
      </c>
      <c r="AR23" s="32" t="str">
        <f t="shared" si="12"/>
        <v/>
      </c>
      <c r="AS23" s="15"/>
      <c r="AT23" s="43" t="str">
        <f t="shared" si="21"/>
        <v/>
      </c>
      <c r="AU23" s="1" t="str">
        <f t="shared" si="14"/>
        <v/>
      </c>
      <c r="AV23" s="1" t="str">
        <f t="shared" si="15"/>
        <v/>
      </c>
      <c r="AW23" s="1" t="str">
        <f>IF(tbl利用3[[#This Row],[利用日]]="","",N(tbl利用3[[#This Row],[利用時間_時]])*60+N(tbl利用3[[#This Row],[利用時間_分]]))</f>
        <v/>
      </c>
      <c r="AX23" s="44" t="str">
        <f t="shared" si="16"/>
        <v/>
      </c>
      <c r="AY23" s="44" t="str">
        <f t="shared" si="1"/>
        <v/>
      </c>
      <c r="AZ23" s="45" t="str">
        <f>IF(tbl利用3[[#This Row],[利用日]]="","",MAX(0,N(tbl利用3[[#This Row],[割引前利用額]])-N(tbl利用3[[#This Row],[割引額]])))</f>
        <v/>
      </c>
      <c r="BA23" s="45" t="str">
        <f>IF(OR(tbl利用3[[#This Row],[利用日]]="",tbl利用3[[#This Row],[利用分数]]&lt;=0),"",N(tbl利用3[[#This Row],[割引前利用額]])/tbl利用3[[#This Row],[利用分数]]*60)</f>
        <v/>
      </c>
      <c r="BB23" s="45" t="str">
        <f>IF(tbl利用3[[#This Row],[利用区分]]="","",_xlfn.XLOOKUP(tbl利用3[[#This Row],[利用区分]],$AQ$4:$AQ$5,$AR$4:$AR$5,"区分未登録"))</f>
        <v/>
      </c>
      <c r="BC23" s="45" t="str">
        <f>IF(OR(tbl利用3[[#This Row],[通常時間単価]]="",NOT(ISNUMBER(tbl利用3[[#This Row],[上限単価]]))),"",MIN(tbl利用3[[#This Row],[通常時間単価]],tbl利用3[[#This Row],[上限単価]]))</f>
        <v/>
      </c>
      <c r="BD23" s="45" t="str">
        <f>IF(tbl利用3[[#This Row],[利用日]]="","",tbl利用3[[#This Row],[利用分数]]/60*tbl利用3[[#This Row],[基準単価]])</f>
        <v/>
      </c>
      <c r="BE23" s="69" t="str">
        <f>IF(OR(tbl利用3[[#This Row],[利用日]]="",tbl利用3[[#This Row],[利用区分]]=""),"",TEXT(tbl利用3[[#This Row],[利用日]],"yyyymmdd")&amp;"|"&amp;tbl利用3[[#This Row],[利用区分]])</f>
        <v/>
      </c>
      <c r="BF23" s="45" t="str">
        <f>IF(tbl利用3[[#This Row],[日別区分キー]]="","",SUMIFS(tbl利用3[明細実支出額],tbl利用3[日別区分キー],tbl利用3[[#This Row],[日別区分キー]]))</f>
        <v/>
      </c>
      <c r="BG23" s="45" t="str">
        <f>IF(tbl利用3[[#This Row],[日別区分キー]]="","",SUMIFS(tbl利用3[処理前明細基準額],tbl利用3[日別区分キー],tbl利用3[[#This Row],[日別区分キー]]))</f>
        <v/>
      </c>
      <c r="BH23" s="45" t="str">
        <f>IF(tbl利用3[[#This Row],[日別区分キー]]="","",ROUNDDOWN(MIN(tbl利用3[[#This Row],[日別区分実支出額]],tbl利用3[[#This Row],[日別区分処理前基準額]]),0))</f>
        <v/>
      </c>
      <c r="BI23" s="45" t="str">
        <f>IF(tbl利用3[[#This Row],[日別区分キー]]="","",MAX(0,tbl利用3[[#This Row],[日別区分処理前基準額]]-tbl利用3[[#This Row],[日別区分実支出額]]))</f>
        <v/>
      </c>
      <c r="BJ23" s="45">
        <f>IF(OR(tbl利用3[[#This Row],[利用日]]="",tbl利用3[[#This Row],[基準単価]]&lt;=0),0,MIN(tbl利用3[[#This Row],[利用分数]],ROUNDDOWN(tbl利用3[[#This Row],[日別区分余裕額]]/(tbl利用3[[#This Row],[基準単価]]/60),0)))</f>
        <v>0</v>
      </c>
      <c r="BK23" s="50"/>
      <c r="BL23" s="71" t="str">
        <f t="shared" si="2"/>
        <v/>
      </c>
      <c r="BM23" s="45" t="str">
        <f>IF(tbl利用3[[#This Row],[利用日]]="","",MAX(0,tbl利用3[[#This Row],[利用分数]]-N(tbl利用3[[#This Row],[切捨分数]])))</f>
        <v/>
      </c>
      <c r="BN23" s="45" t="str">
        <f>IF(tbl利用3[[#This Row],[利用日]]="","",tbl利用3[[#This Row],[処理後利用分数]]/60*tbl利用3[[#This Row],[基準単価]])</f>
        <v/>
      </c>
      <c r="BO23" s="45" t="str">
        <f>IF(tbl利用3[[#This Row],[日別区分キー]]="","",SUMIFS(tbl利用3[処理後明細基準額],tbl利用3[日別区分キー],tbl利用3[[#This Row],[日別区分キー]]))</f>
        <v/>
      </c>
      <c r="BP23" s="45" t="str">
        <f>IF(tbl利用3[[#This Row],[日別区分キー]]="","",ROUNDDOWN(MIN(tbl利用3[[#This Row],[日別区分実支出額]],tbl利用3[[#This Row],[日別区分処理後基準額]]),0))</f>
        <v/>
      </c>
      <c r="BQ23" s="45" t="str">
        <f>IF(tbl利用3[[#This Row],[日別区分キー]]="","",tbl利用3[[#This Row],[日別区分処理前補助額]]-tbl利用3[[#This Row],[日別区分補助額]])</f>
        <v/>
      </c>
      <c r="BR23" s="45" t="str">
        <f>IF(OR(tbl利用3[[#This Row],[日別区分キー]]="",tbl利用3[[#This Row],[処理後利用分数]]&lt;=0),"",ROUNDDOWN(MIN(tbl利用3[[#This Row],[日別区分実支出額]],tbl利用3[[#This Row],[日別区分処理後基準額]]-tbl利用3[[#This Row],[基準単価]]/60),0))</f>
        <v/>
      </c>
      <c r="BS23" s="52" t="str">
        <f>IF(tbl利用3[[#This Row],[次の1分切捨時補助額]]="","",tbl利用3[[#This Row],[日別区分補助額]]-tbl利用3[[#This Row],[次の1分切捨時補助額]])</f>
        <v/>
      </c>
      <c r="BT23" s="45" t="str">
        <f>IF(tbl利用3[[#This Row],[日別区分キー]]="","",--(COUNTIF(INDEX(tbl利用3[日別区分キー],1):tbl利用3[[#This Row],[日別区分キー]],tbl利用3[[#This Row],[日別区分キー]])=1))</f>
        <v/>
      </c>
      <c r="BU23" s="45" t="str">
        <f>IF(tbl利用3[[#This Row],[利用区分]]="","",SUMIFS(tbl利用3[利用分数],tbl利用3[利用区分],tbl利用3[[#This Row],[利用区分]]))</f>
        <v/>
      </c>
      <c r="BV23" s="45" t="str">
        <f>IF(tbl利用3[[#This Row],[利用区分]]="","",MOD(tbl利用3[[#This Row],[区分総利用分数]],60))</f>
        <v/>
      </c>
      <c r="BW23" s="45" t="str">
        <f>IF(tbl利用3[[#This Row],[利用区分]]="","",SUMIFS(tbl利用3[切捨分数],tbl利用3[利用区分],tbl利用3[[#This Row],[利用区分]]))</f>
        <v/>
      </c>
      <c r="BX23" s="45" t="str">
        <f>IF(tbl利用3[[#This Row],[利用区分]]="","",IF(tbl利用3[[#This Row],[区分必要切捨分数]]=tbl利用3[[#This Row],[区分入力切捨合計]],"OK","要確認"))</f>
        <v/>
      </c>
      <c r="BY23"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23" s="46"/>
    </row>
    <row r="24" spans="1:78" s="1" customFormat="1" ht="28.5" customHeight="1" x14ac:dyDescent="0.4">
      <c r="A24" s="19">
        <v>17</v>
      </c>
      <c r="B24" s="75"/>
      <c r="C24" s="76"/>
      <c r="D24" s="76"/>
      <c r="E24" s="76"/>
      <c r="F24" s="34"/>
      <c r="G24" s="13"/>
      <c r="H24" s="22" t="s">
        <v>8</v>
      </c>
      <c r="I24" s="14"/>
      <c r="J24" s="22" t="s">
        <v>9</v>
      </c>
      <c r="K24" s="14"/>
      <c r="L24" s="22" t="s">
        <v>8</v>
      </c>
      <c r="M24" s="14"/>
      <c r="N24" s="2" t="str">
        <f t="shared" si="3"/>
        <v/>
      </c>
      <c r="O24" s="22" t="s">
        <v>10</v>
      </c>
      <c r="P24" s="22" t="str">
        <f t="shared" si="17"/>
        <v/>
      </c>
      <c r="Q24" s="3" t="s">
        <v>11</v>
      </c>
      <c r="R24" s="79"/>
      <c r="S24" s="80"/>
      <c r="T24" s="4" t="s">
        <v>12</v>
      </c>
      <c r="U24" s="79"/>
      <c r="V24" s="80"/>
      <c r="W24" s="4" t="s">
        <v>12</v>
      </c>
      <c r="X24" s="80"/>
      <c r="Y24" s="81"/>
      <c r="Z24" s="4" t="s">
        <v>12</v>
      </c>
      <c r="AA24" s="15"/>
      <c r="AB24" s="5" t="str">
        <f t="shared" si="5"/>
        <v/>
      </c>
      <c r="AC24" s="20" t="s">
        <v>8</v>
      </c>
      <c r="AD24" s="6" t="str">
        <f t="shared" si="18"/>
        <v/>
      </c>
      <c r="AE24" s="20" t="s">
        <v>9</v>
      </c>
      <c r="AF24" s="6" t="str">
        <f t="shared" si="19"/>
        <v/>
      </c>
      <c r="AG24" s="20" t="s">
        <v>8</v>
      </c>
      <c r="AH24" s="6" t="str">
        <f t="shared" si="7"/>
        <v/>
      </c>
      <c r="AI24" s="7" t="str">
        <f t="shared" si="20"/>
        <v/>
      </c>
      <c r="AJ24" s="20" t="s">
        <v>10</v>
      </c>
      <c r="AK24" s="8" t="str">
        <f t="shared" si="9"/>
        <v/>
      </c>
      <c r="AL24" s="9" t="s">
        <v>11</v>
      </c>
      <c r="AM24" s="7" t="str">
        <f t="shared" si="10"/>
        <v/>
      </c>
      <c r="AN24" s="20" t="s">
        <v>10</v>
      </c>
      <c r="AO24" s="8" t="str">
        <f t="shared" si="11"/>
        <v/>
      </c>
      <c r="AP24" s="10" t="s">
        <v>11</v>
      </c>
      <c r="AQ24" s="15" t="str" cm="1">
        <f t="array" ref="AQ24">IF(tbl利用3[[#This Row],[利用日]]="","",ROW()-ROW(tbl利用3[#Headers]))</f>
        <v/>
      </c>
      <c r="AR24" s="32" t="str">
        <f t="shared" si="12"/>
        <v/>
      </c>
      <c r="AS24" s="15"/>
      <c r="AT24" s="43" t="str">
        <f t="shared" si="21"/>
        <v/>
      </c>
      <c r="AU24" s="1" t="str">
        <f t="shared" si="14"/>
        <v/>
      </c>
      <c r="AV24" s="1" t="str">
        <f t="shared" si="15"/>
        <v/>
      </c>
      <c r="AW24" s="1" t="str">
        <f>IF(tbl利用3[[#This Row],[利用日]]="","",N(tbl利用3[[#This Row],[利用時間_時]])*60+N(tbl利用3[[#This Row],[利用時間_分]]))</f>
        <v/>
      </c>
      <c r="AX24" s="44" t="str">
        <f t="shared" si="16"/>
        <v/>
      </c>
      <c r="AY24" s="44" t="str">
        <f t="shared" si="1"/>
        <v/>
      </c>
      <c r="AZ24" s="45" t="str">
        <f>IF(tbl利用3[[#This Row],[利用日]]="","",MAX(0,N(tbl利用3[[#This Row],[割引前利用額]])-N(tbl利用3[[#This Row],[割引額]])))</f>
        <v/>
      </c>
      <c r="BA24" s="45" t="str">
        <f>IF(OR(tbl利用3[[#This Row],[利用日]]="",tbl利用3[[#This Row],[利用分数]]&lt;=0),"",N(tbl利用3[[#This Row],[割引前利用額]])/tbl利用3[[#This Row],[利用分数]]*60)</f>
        <v/>
      </c>
      <c r="BB24" s="45" t="str">
        <f>IF(tbl利用3[[#This Row],[利用区分]]="","",_xlfn.XLOOKUP(tbl利用3[[#This Row],[利用区分]],$AQ$4:$AQ$5,$AR$4:$AR$5,"区分未登録"))</f>
        <v/>
      </c>
      <c r="BC24" s="45" t="str">
        <f>IF(OR(tbl利用3[[#This Row],[通常時間単価]]="",NOT(ISNUMBER(tbl利用3[[#This Row],[上限単価]]))),"",MIN(tbl利用3[[#This Row],[通常時間単価]],tbl利用3[[#This Row],[上限単価]]))</f>
        <v/>
      </c>
      <c r="BD24" s="45" t="str">
        <f>IF(tbl利用3[[#This Row],[利用日]]="","",tbl利用3[[#This Row],[利用分数]]/60*tbl利用3[[#This Row],[基準単価]])</f>
        <v/>
      </c>
      <c r="BE24" s="69" t="str">
        <f>IF(OR(tbl利用3[[#This Row],[利用日]]="",tbl利用3[[#This Row],[利用区分]]=""),"",TEXT(tbl利用3[[#This Row],[利用日]],"yyyymmdd")&amp;"|"&amp;tbl利用3[[#This Row],[利用区分]])</f>
        <v/>
      </c>
      <c r="BF24" s="45" t="str">
        <f>IF(tbl利用3[[#This Row],[日別区分キー]]="","",SUMIFS(tbl利用3[明細実支出額],tbl利用3[日別区分キー],tbl利用3[[#This Row],[日別区分キー]]))</f>
        <v/>
      </c>
      <c r="BG24" s="45" t="str">
        <f>IF(tbl利用3[[#This Row],[日別区分キー]]="","",SUMIFS(tbl利用3[処理前明細基準額],tbl利用3[日別区分キー],tbl利用3[[#This Row],[日別区分キー]]))</f>
        <v/>
      </c>
      <c r="BH24" s="45" t="str">
        <f>IF(tbl利用3[[#This Row],[日別区分キー]]="","",ROUNDDOWN(MIN(tbl利用3[[#This Row],[日別区分実支出額]],tbl利用3[[#This Row],[日別区分処理前基準額]]),0))</f>
        <v/>
      </c>
      <c r="BI24" s="45" t="str">
        <f>IF(tbl利用3[[#This Row],[日別区分キー]]="","",MAX(0,tbl利用3[[#This Row],[日別区分処理前基準額]]-tbl利用3[[#This Row],[日別区分実支出額]]))</f>
        <v/>
      </c>
      <c r="BJ24" s="45">
        <f>IF(OR(tbl利用3[[#This Row],[利用日]]="",tbl利用3[[#This Row],[基準単価]]&lt;=0),0,MIN(tbl利用3[[#This Row],[利用分数]],ROUNDDOWN(tbl利用3[[#This Row],[日別区分余裕額]]/(tbl利用3[[#This Row],[基準単価]]/60),0)))</f>
        <v>0</v>
      </c>
      <c r="BK24" s="50"/>
      <c r="BL24" s="71" t="str">
        <f t="shared" si="2"/>
        <v/>
      </c>
      <c r="BM24" s="45" t="str">
        <f>IF(tbl利用3[[#This Row],[利用日]]="","",MAX(0,tbl利用3[[#This Row],[利用分数]]-N(tbl利用3[[#This Row],[切捨分数]])))</f>
        <v/>
      </c>
      <c r="BN24" s="45" t="str">
        <f>IF(tbl利用3[[#This Row],[利用日]]="","",tbl利用3[[#This Row],[処理後利用分数]]/60*tbl利用3[[#This Row],[基準単価]])</f>
        <v/>
      </c>
      <c r="BO24" s="45" t="str">
        <f>IF(tbl利用3[[#This Row],[日別区分キー]]="","",SUMIFS(tbl利用3[処理後明細基準額],tbl利用3[日別区分キー],tbl利用3[[#This Row],[日別区分キー]]))</f>
        <v/>
      </c>
      <c r="BP24" s="45" t="str">
        <f>IF(tbl利用3[[#This Row],[日別区分キー]]="","",ROUNDDOWN(MIN(tbl利用3[[#This Row],[日別区分実支出額]],tbl利用3[[#This Row],[日別区分処理後基準額]]),0))</f>
        <v/>
      </c>
      <c r="BQ24" s="45" t="str">
        <f>IF(tbl利用3[[#This Row],[日別区分キー]]="","",tbl利用3[[#This Row],[日別区分処理前補助額]]-tbl利用3[[#This Row],[日別区分補助額]])</f>
        <v/>
      </c>
      <c r="BR24" s="45" t="str">
        <f>IF(OR(tbl利用3[[#This Row],[日別区分キー]]="",tbl利用3[[#This Row],[処理後利用分数]]&lt;=0),"",ROUNDDOWN(MIN(tbl利用3[[#This Row],[日別区分実支出額]],tbl利用3[[#This Row],[日別区分処理後基準額]]-tbl利用3[[#This Row],[基準単価]]/60),0))</f>
        <v/>
      </c>
      <c r="BS24" s="52" t="str">
        <f>IF(tbl利用3[[#This Row],[次の1分切捨時補助額]]="","",tbl利用3[[#This Row],[日別区分補助額]]-tbl利用3[[#This Row],[次の1分切捨時補助額]])</f>
        <v/>
      </c>
      <c r="BT24" s="45" t="str">
        <f>IF(tbl利用3[[#This Row],[日別区分キー]]="","",--(COUNTIF(INDEX(tbl利用3[日別区分キー],1):tbl利用3[[#This Row],[日別区分キー]],tbl利用3[[#This Row],[日別区分キー]])=1))</f>
        <v/>
      </c>
      <c r="BU24" s="45" t="str">
        <f>IF(tbl利用3[[#This Row],[利用区分]]="","",SUMIFS(tbl利用3[利用分数],tbl利用3[利用区分],tbl利用3[[#This Row],[利用区分]]))</f>
        <v/>
      </c>
      <c r="BV24" s="45" t="str">
        <f>IF(tbl利用3[[#This Row],[利用区分]]="","",MOD(tbl利用3[[#This Row],[区分総利用分数]],60))</f>
        <v/>
      </c>
      <c r="BW24" s="45" t="str">
        <f>IF(tbl利用3[[#This Row],[利用区分]]="","",SUMIFS(tbl利用3[切捨分数],tbl利用3[利用区分],tbl利用3[[#This Row],[利用区分]]))</f>
        <v/>
      </c>
      <c r="BX24" s="45" t="str">
        <f>IF(tbl利用3[[#This Row],[利用区分]]="","",IF(tbl利用3[[#This Row],[区分必要切捨分数]]=tbl利用3[[#This Row],[区分入力切捨合計]],"OK","要確認"))</f>
        <v/>
      </c>
      <c r="BY24"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24" s="46"/>
    </row>
    <row r="25" spans="1:78" s="1" customFormat="1" ht="28.5" customHeight="1" x14ac:dyDescent="0.4">
      <c r="A25" s="19">
        <v>18</v>
      </c>
      <c r="B25" s="75"/>
      <c r="C25" s="76"/>
      <c r="D25" s="76"/>
      <c r="E25" s="76"/>
      <c r="F25" s="34"/>
      <c r="G25" s="13"/>
      <c r="H25" s="22" t="s">
        <v>8</v>
      </c>
      <c r="I25" s="14"/>
      <c r="J25" s="22" t="s">
        <v>9</v>
      </c>
      <c r="K25" s="14"/>
      <c r="L25" s="22" t="s">
        <v>8</v>
      </c>
      <c r="M25" s="14"/>
      <c r="N25" s="2" t="str">
        <f t="shared" si="3"/>
        <v/>
      </c>
      <c r="O25" s="22" t="s">
        <v>10</v>
      </c>
      <c r="P25" s="22" t="str">
        <f t="shared" si="17"/>
        <v/>
      </c>
      <c r="Q25" s="3" t="s">
        <v>11</v>
      </c>
      <c r="R25" s="79"/>
      <c r="S25" s="80"/>
      <c r="T25" s="4" t="s">
        <v>12</v>
      </c>
      <c r="U25" s="79"/>
      <c r="V25" s="80"/>
      <c r="W25" s="4" t="s">
        <v>12</v>
      </c>
      <c r="X25" s="80"/>
      <c r="Y25" s="81"/>
      <c r="Z25" s="4" t="s">
        <v>12</v>
      </c>
      <c r="AA25" s="15"/>
      <c r="AB25" s="5" t="str">
        <f t="shared" si="5"/>
        <v/>
      </c>
      <c r="AC25" s="20" t="s">
        <v>8</v>
      </c>
      <c r="AD25" s="6" t="str">
        <f t="shared" si="18"/>
        <v/>
      </c>
      <c r="AE25" s="20" t="s">
        <v>9</v>
      </c>
      <c r="AF25" s="6" t="str">
        <f t="shared" si="19"/>
        <v/>
      </c>
      <c r="AG25" s="20" t="s">
        <v>8</v>
      </c>
      <c r="AH25" s="6" t="str">
        <f t="shared" si="7"/>
        <v/>
      </c>
      <c r="AI25" s="7" t="str">
        <f t="shared" si="20"/>
        <v/>
      </c>
      <c r="AJ25" s="20" t="s">
        <v>10</v>
      </c>
      <c r="AK25" s="8" t="str">
        <f t="shared" si="9"/>
        <v/>
      </c>
      <c r="AL25" s="9" t="s">
        <v>11</v>
      </c>
      <c r="AM25" s="7" t="str">
        <f t="shared" si="10"/>
        <v/>
      </c>
      <c r="AN25" s="20" t="s">
        <v>10</v>
      </c>
      <c r="AO25" s="8" t="str">
        <f t="shared" si="11"/>
        <v/>
      </c>
      <c r="AP25" s="10" t="s">
        <v>11</v>
      </c>
      <c r="AQ25" s="15" t="str" cm="1">
        <f t="array" ref="AQ25">IF(tbl利用3[[#This Row],[利用日]]="","",ROW()-ROW(tbl利用3[#Headers]))</f>
        <v/>
      </c>
      <c r="AR25" s="32" t="str">
        <f t="shared" si="12"/>
        <v/>
      </c>
      <c r="AS25" s="15"/>
      <c r="AT25" s="43" t="str">
        <f t="shared" si="21"/>
        <v/>
      </c>
      <c r="AU25" s="1" t="str">
        <f t="shared" si="14"/>
        <v/>
      </c>
      <c r="AV25" s="1" t="str">
        <f t="shared" si="15"/>
        <v/>
      </c>
      <c r="AW25" s="1" t="str">
        <f>IF(tbl利用3[[#This Row],[利用日]]="","",N(tbl利用3[[#This Row],[利用時間_時]])*60+N(tbl利用3[[#This Row],[利用時間_分]]))</f>
        <v/>
      </c>
      <c r="AX25" s="44" t="str">
        <f t="shared" si="16"/>
        <v/>
      </c>
      <c r="AY25" s="44" t="str">
        <f t="shared" si="1"/>
        <v/>
      </c>
      <c r="AZ25" s="45" t="str">
        <f>IF(tbl利用3[[#This Row],[利用日]]="","",MAX(0,N(tbl利用3[[#This Row],[割引前利用額]])-N(tbl利用3[[#This Row],[割引額]])))</f>
        <v/>
      </c>
      <c r="BA25" s="45" t="str">
        <f>IF(OR(tbl利用3[[#This Row],[利用日]]="",tbl利用3[[#This Row],[利用分数]]&lt;=0),"",N(tbl利用3[[#This Row],[割引前利用額]])/tbl利用3[[#This Row],[利用分数]]*60)</f>
        <v/>
      </c>
      <c r="BB25" s="45" t="str">
        <f>IF(tbl利用3[[#This Row],[利用区分]]="","",_xlfn.XLOOKUP(tbl利用3[[#This Row],[利用区分]],$AQ$4:$AQ$5,$AR$4:$AR$5,"区分未登録"))</f>
        <v/>
      </c>
      <c r="BC25" s="45" t="str">
        <f>IF(OR(tbl利用3[[#This Row],[通常時間単価]]="",NOT(ISNUMBER(tbl利用3[[#This Row],[上限単価]]))),"",MIN(tbl利用3[[#This Row],[通常時間単価]],tbl利用3[[#This Row],[上限単価]]))</f>
        <v/>
      </c>
      <c r="BD25" s="45" t="str">
        <f>IF(tbl利用3[[#This Row],[利用日]]="","",tbl利用3[[#This Row],[利用分数]]/60*tbl利用3[[#This Row],[基準単価]])</f>
        <v/>
      </c>
      <c r="BE25" s="69" t="str">
        <f>IF(OR(tbl利用3[[#This Row],[利用日]]="",tbl利用3[[#This Row],[利用区分]]=""),"",TEXT(tbl利用3[[#This Row],[利用日]],"yyyymmdd")&amp;"|"&amp;tbl利用3[[#This Row],[利用区分]])</f>
        <v/>
      </c>
      <c r="BF25" s="45" t="str">
        <f>IF(tbl利用3[[#This Row],[日別区分キー]]="","",SUMIFS(tbl利用3[明細実支出額],tbl利用3[日別区分キー],tbl利用3[[#This Row],[日別区分キー]]))</f>
        <v/>
      </c>
      <c r="BG25" s="45" t="str">
        <f>IF(tbl利用3[[#This Row],[日別区分キー]]="","",SUMIFS(tbl利用3[処理前明細基準額],tbl利用3[日別区分キー],tbl利用3[[#This Row],[日別区分キー]]))</f>
        <v/>
      </c>
      <c r="BH25" s="45" t="str">
        <f>IF(tbl利用3[[#This Row],[日別区分キー]]="","",ROUNDDOWN(MIN(tbl利用3[[#This Row],[日別区分実支出額]],tbl利用3[[#This Row],[日別区分処理前基準額]]),0))</f>
        <v/>
      </c>
      <c r="BI25" s="45" t="str">
        <f>IF(tbl利用3[[#This Row],[日別区分キー]]="","",MAX(0,tbl利用3[[#This Row],[日別区分処理前基準額]]-tbl利用3[[#This Row],[日別区分実支出額]]))</f>
        <v/>
      </c>
      <c r="BJ25" s="45">
        <f>IF(OR(tbl利用3[[#This Row],[利用日]]="",tbl利用3[[#This Row],[基準単価]]&lt;=0),0,MIN(tbl利用3[[#This Row],[利用分数]],ROUNDDOWN(tbl利用3[[#This Row],[日別区分余裕額]]/(tbl利用3[[#This Row],[基準単価]]/60),0)))</f>
        <v>0</v>
      </c>
      <c r="BK25" s="50"/>
      <c r="BL25" s="71" t="str">
        <f t="shared" si="2"/>
        <v/>
      </c>
      <c r="BM25" s="45" t="str">
        <f>IF(tbl利用3[[#This Row],[利用日]]="","",MAX(0,tbl利用3[[#This Row],[利用分数]]-N(tbl利用3[[#This Row],[切捨分数]])))</f>
        <v/>
      </c>
      <c r="BN25" s="45" t="str">
        <f>IF(tbl利用3[[#This Row],[利用日]]="","",tbl利用3[[#This Row],[処理後利用分数]]/60*tbl利用3[[#This Row],[基準単価]])</f>
        <v/>
      </c>
      <c r="BO25" s="45" t="str">
        <f>IF(tbl利用3[[#This Row],[日別区分キー]]="","",SUMIFS(tbl利用3[処理後明細基準額],tbl利用3[日別区分キー],tbl利用3[[#This Row],[日別区分キー]]))</f>
        <v/>
      </c>
      <c r="BP25" s="45" t="str">
        <f>IF(tbl利用3[[#This Row],[日別区分キー]]="","",ROUNDDOWN(MIN(tbl利用3[[#This Row],[日別区分実支出額]],tbl利用3[[#This Row],[日別区分処理後基準額]]),0))</f>
        <v/>
      </c>
      <c r="BQ25" s="45" t="str">
        <f>IF(tbl利用3[[#This Row],[日別区分キー]]="","",tbl利用3[[#This Row],[日別区分処理前補助額]]-tbl利用3[[#This Row],[日別区分補助額]])</f>
        <v/>
      </c>
      <c r="BR25" s="45" t="str">
        <f>IF(OR(tbl利用3[[#This Row],[日別区分キー]]="",tbl利用3[[#This Row],[処理後利用分数]]&lt;=0),"",ROUNDDOWN(MIN(tbl利用3[[#This Row],[日別区分実支出額]],tbl利用3[[#This Row],[日別区分処理後基準額]]-tbl利用3[[#This Row],[基準単価]]/60),0))</f>
        <v/>
      </c>
      <c r="BS25" s="52" t="str">
        <f>IF(tbl利用3[[#This Row],[次の1分切捨時補助額]]="","",tbl利用3[[#This Row],[日別区分補助額]]-tbl利用3[[#This Row],[次の1分切捨時補助額]])</f>
        <v/>
      </c>
      <c r="BT25" s="45" t="str">
        <f>IF(tbl利用3[[#This Row],[日別区分キー]]="","",--(COUNTIF(INDEX(tbl利用3[日別区分キー],1):tbl利用3[[#This Row],[日別区分キー]],tbl利用3[[#This Row],[日別区分キー]])=1))</f>
        <v/>
      </c>
      <c r="BU25" s="45" t="str">
        <f>IF(tbl利用3[[#This Row],[利用区分]]="","",SUMIFS(tbl利用3[利用分数],tbl利用3[利用区分],tbl利用3[[#This Row],[利用区分]]))</f>
        <v/>
      </c>
      <c r="BV25" s="45" t="str">
        <f>IF(tbl利用3[[#This Row],[利用区分]]="","",MOD(tbl利用3[[#This Row],[区分総利用分数]],60))</f>
        <v/>
      </c>
      <c r="BW25" s="45" t="str">
        <f>IF(tbl利用3[[#This Row],[利用区分]]="","",SUMIFS(tbl利用3[切捨分数],tbl利用3[利用区分],tbl利用3[[#This Row],[利用区分]]))</f>
        <v/>
      </c>
      <c r="BX25" s="45" t="str">
        <f>IF(tbl利用3[[#This Row],[利用区分]]="","",IF(tbl利用3[[#This Row],[区分必要切捨分数]]=tbl利用3[[#This Row],[区分入力切捨合計]],"OK","要確認"))</f>
        <v/>
      </c>
      <c r="BY25"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25" s="46"/>
    </row>
    <row r="26" spans="1:78" s="1" customFormat="1" ht="28.5" customHeight="1" x14ac:dyDescent="0.4">
      <c r="A26" s="19">
        <v>19</v>
      </c>
      <c r="B26" s="75"/>
      <c r="C26" s="76"/>
      <c r="D26" s="76"/>
      <c r="E26" s="76"/>
      <c r="F26" s="34"/>
      <c r="G26" s="13"/>
      <c r="H26" s="22" t="s">
        <v>8</v>
      </c>
      <c r="I26" s="14"/>
      <c r="J26" s="22" t="s">
        <v>9</v>
      </c>
      <c r="K26" s="14"/>
      <c r="L26" s="22" t="s">
        <v>8</v>
      </c>
      <c r="M26" s="14"/>
      <c r="N26" s="2" t="str">
        <f t="shared" si="3"/>
        <v/>
      </c>
      <c r="O26" s="22" t="s">
        <v>10</v>
      </c>
      <c r="P26" s="22" t="str">
        <f t="shared" si="17"/>
        <v/>
      </c>
      <c r="Q26" s="3" t="s">
        <v>11</v>
      </c>
      <c r="R26" s="79"/>
      <c r="S26" s="80"/>
      <c r="T26" s="4" t="s">
        <v>12</v>
      </c>
      <c r="U26" s="79"/>
      <c r="V26" s="80"/>
      <c r="W26" s="4" t="s">
        <v>12</v>
      </c>
      <c r="X26" s="80"/>
      <c r="Y26" s="81"/>
      <c r="Z26" s="4" t="s">
        <v>12</v>
      </c>
      <c r="AA26" s="15"/>
      <c r="AB26" s="5" t="str">
        <f t="shared" si="5"/>
        <v/>
      </c>
      <c r="AC26" s="20" t="s">
        <v>8</v>
      </c>
      <c r="AD26" s="6" t="str">
        <f t="shared" si="18"/>
        <v/>
      </c>
      <c r="AE26" s="20" t="s">
        <v>9</v>
      </c>
      <c r="AF26" s="6" t="str">
        <f t="shared" si="19"/>
        <v/>
      </c>
      <c r="AG26" s="20" t="s">
        <v>8</v>
      </c>
      <c r="AH26" s="6" t="str">
        <f t="shared" si="7"/>
        <v/>
      </c>
      <c r="AI26" s="7" t="str">
        <f t="shared" si="20"/>
        <v/>
      </c>
      <c r="AJ26" s="20" t="s">
        <v>10</v>
      </c>
      <c r="AK26" s="8" t="str">
        <f t="shared" si="9"/>
        <v/>
      </c>
      <c r="AL26" s="9" t="s">
        <v>11</v>
      </c>
      <c r="AM26" s="7" t="str">
        <f t="shared" si="10"/>
        <v/>
      </c>
      <c r="AN26" s="20" t="s">
        <v>10</v>
      </c>
      <c r="AO26" s="8" t="str">
        <f t="shared" si="11"/>
        <v/>
      </c>
      <c r="AP26" s="10" t="s">
        <v>11</v>
      </c>
      <c r="AQ26" s="15" t="str" cm="1">
        <f t="array" ref="AQ26">IF(tbl利用3[[#This Row],[利用日]]="","",ROW()-ROW(tbl利用3[#Headers]))</f>
        <v/>
      </c>
      <c r="AR26" s="32" t="str">
        <f t="shared" si="12"/>
        <v/>
      </c>
      <c r="AS26" s="15"/>
      <c r="AT26" s="43" t="str">
        <f t="shared" si="21"/>
        <v/>
      </c>
      <c r="AU26" s="1" t="str">
        <f t="shared" si="14"/>
        <v/>
      </c>
      <c r="AV26" s="1" t="str">
        <f t="shared" si="15"/>
        <v/>
      </c>
      <c r="AW26" s="1" t="str">
        <f>IF(tbl利用3[[#This Row],[利用日]]="","",N(tbl利用3[[#This Row],[利用時間_時]])*60+N(tbl利用3[[#This Row],[利用時間_分]]))</f>
        <v/>
      </c>
      <c r="AX26" s="44" t="str">
        <f t="shared" si="16"/>
        <v/>
      </c>
      <c r="AY26" s="44" t="str">
        <f t="shared" si="1"/>
        <v/>
      </c>
      <c r="AZ26" s="45" t="str">
        <f>IF(tbl利用3[[#This Row],[利用日]]="","",MAX(0,N(tbl利用3[[#This Row],[割引前利用額]])-N(tbl利用3[[#This Row],[割引額]])))</f>
        <v/>
      </c>
      <c r="BA26" s="45" t="str">
        <f>IF(OR(tbl利用3[[#This Row],[利用日]]="",tbl利用3[[#This Row],[利用分数]]&lt;=0),"",N(tbl利用3[[#This Row],[割引前利用額]])/tbl利用3[[#This Row],[利用分数]]*60)</f>
        <v/>
      </c>
      <c r="BB26" s="45" t="str">
        <f>IF(tbl利用3[[#This Row],[利用区分]]="","",_xlfn.XLOOKUP(tbl利用3[[#This Row],[利用区分]],$AQ$4:$AQ$5,$AR$4:$AR$5,"区分未登録"))</f>
        <v/>
      </c>
      <c r="BC26" s="45" t="str">
        <f>IF(OR(tbl利用3[[#This Row],[通常時間単価]]="",NOT(ISNUMBER(tbl利用3[[#This Row],[上限単価]]))),"",MIN(tbl利用3[[#This Row],[通常時間単価]],tbl利用3[[#This Row],[上限単価]]))</f>
        <v/>
      </c>
      <c r="BD26" s="45" t="str">
        <f>IF(tbl利用3[[#This Row],[利用日]]="","",tbl利用3[[#This Row],[利用分数]]/60*tbl利用3[[#This Row],[基準単価]])</f>
        <v/>
      </c>
      <c r="BE26" s="69" t="str">
        <f>IF(OR(tbl利用3[[#This Row],[利用日]]="",tbl利用3[[#This Row],[利用区分]]=""),"",TEXT(tbl利用3[[#This Row],[利用日]],"yyyymmdd")&amp;"|"&amp;tbl利用3[[#This Row],[利用区分]])</f>
        <v/>
      </c>
      <c r="BF26" s="45" t="str">
        <f>IF(tbl利用3[[#This Row],[日別区分キー]]="","",SUMIFS(tbl利用3[明細実支出額],tbl利用3[日別区分キー],tbl利用3[[#This Row],[日別区分キー]]))</f>
        <v/>
      </c>
      <c r="BG26" s="45" t="str">
        <f>IF(tbl利用3[[#This Row],[日別区分キー]]="","",SUMIFS(tbl利用3[処理前明細基準額],tbl利用3[日別区分キー],tbl利用3[[#This Row],[日別区分キー]]))</f>
        <v/>
      </c>
      <c r="BH26" s="45" t="str">
        <f>IF(tbl利用3[[#This Row],[日別区分キー]]="","",ROUNDDOWN(MIN(tbl利用3[[#This Row],[日別区分実支出額]],tbl利用3[[#This Row],[日別区分処理前基準額]]),0))</f>
        <v/>
      </c>
      <c r="BI26" s="45" t="str">
        <f>IF(tbl利用3[[#This Row],[日別区分キー]]="","",MAX(0,tbl利用3[[#This Row],[日別区分処理前基準額]]-tbl利用3[[#This Row],[日別区分実支出額]]))</f>
        <v/>
      </c>
      <c r="BJ26" s="45">
        <f>IF(OR(tbl利用3[[#This Row],[利用日]]="",tbl利用3[[#This Row],[基準単価]]&lt;=0),0,MIN(tbl利用3[[#This Row],[利用分数]],ROUNDDOWN(tbl利用3[[#This Row],[日別区分余裕額]]/(tbl利用3[[#This Row],[基準単価]]/60),0)))</f>
        <v>0</v>
      </c>
      <c r="BK26" s="50"/>
      <c r="BL26" s="71" t="str">
        <f t="shared" si="2"/>
        <v/>
      </c>
      <c r="BM26" s="45" t="str">
        <f>IF(tbl利用3[[#This Row],[利用日]]="","",MAX(0,tbl利用3[[#This Row],[利用分数]]-N(tbl利用3[[#This Row],[切捨分数]])))</f>
        <v/>
      </c>
      <c r="BN26" s="45" t="str">
        <f>IF(tbl利用3[[#This Row],[利用日]]="","",tbl利用3[[#This Row],[処理後利用分数]]/60*tbl利用3[[#This Row],[基準単価]])</f>
        <v/>
      </c>
      <c r="BO26" s="45" t="str">
        <f>IF(tbl利用3[[#This Row],[日別区分キー]]="","",SUMIFS(tbl利用3[処理後明細基準額],tbl利用3[日別区分キー],tbl利用3[[#This Row],[日別区分キー]]))</f>
        <v/>
      </c>
      <c r="BP26" s="45" t="str">
        <f>IF(tbl利用3[[#This Row],[日別区分キー]]="","",ROUNDDOWN(MIN(tbl利用3[[#This Row],[日別区分実支出額]],tbl利用3[[#This Row],[日別区分処理後基準額]]),0))</f>
        <v/>
      </c>
      <c r="BQ26" s="45" t="str">
        <f>IF(tbl利用3[[#This Row],[日別区分キー]]="","",tbl利用3[[#This Row],[日別区分処理前補助額]]-tbl利用3[[#This Row],[日別区分補助額]])</f>
        <v/>
      </c>
      <c r="BR26" s="45" t="str">
        <f>IF(OR(tbl利用3[[#This Row],[日別区分キー]]="",tbl利用3[[#This Row],[処理後利用分数]]&lt;=0),"",ROUNDDOWN(MIN(tbl利用3[[#This Row],[日別区分実支出額]],tbl利用3[[#This Row],[日別区分処理後基準額]]-tbl利用3[[#This Row],[基準単価]]/60),0))</f>
        <v/>
      </c>
      <c r="BS26" s="52" t="str">
        <f>IF(tbl利用3[[#This Row],[次の1分切捨時補助額]]="","",tbl利用3[[#This Row],[日別区分補助額]]-tbl利用3[[#This Row],[次の1分切捨時補助額]])</f>
        <v/>
      </c>
      <c r="BT26" s="45" t="str">
        <f>IF(tbl利用3[[#This Row],[日別区分キー]]="","",--(COUNTIF(INDEX(tbl利用3[日別区分キー],1):tbl利用3[[#This Row],[日別区分キー]],tbl利用3[[#This Row],[日別区分キー]])=1))</f>
        <v/>
      </c>
      <c r="BU26" s="45" t="str">
        <f>IF(tbl利用3[[#This Row],[利用区分]]="","",SUMIFS(tbl利用3[利用分数],tbl利用3[利用区分],tbl利用3[[#This Row],[利用区分]]))</f>
        <v/>
      </c>
      <c r="BV26" s="45" t="str">
        <f>IF(tbl利用3[[#This Row],[利用区分]]="","",MOD(tbl利用3[[#This Row],[区分総利用分数]],60))</f>
        <v/>
      </c>
      <c r="BW26" s="45" t="str">
        <f>IF(tbl利用3[[#This Row],[利用区分]]="","",SUMIFS(tbl利用3[切捨分数],tbl利用3[利用区分],tbl利用3[[#This Row],[利用区分]]))</f>
        <v/>
      </c>
      <c r="BX26" s="45" t="str">
        <f>IF(tbl利用3[[#This Row],[利用区分]]="","",IF(tbl利用3[[#This Row],[区分必要切捨分数]]=tbl利用3[[#This Row],[区分入力切捨合計]],"OK","要確認"))</f>
        <v/>
      </c>
      <c r="BY26"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26" s="46"/>
    </row>
    <row r="27" spans="1:78" s="1" customFormat="1" ht="28.5" customHeight="1" x14ac:dyDescent="0.4">
      <c r="A27" s="19">
        <v>20</v>
      </c>
      <c r="B27" s="75"/>
      <c r="C27" s="76"/>
      <c r="D27" s="76"/>
      <c r="E27" s="76"/>
      <c r="F27" s="34"/>
      <c r="G27" s="13"/>
      <c r="H27" s="22" t="s">
        <v>8</v>
      </c>
      <c r="I27" s="14"/>
      <c r="J27" s="22" t="s">
        <v>9</v>
      </c>
      <c r="K27" s="14"/>
      <c r="L27" s="22" t="s">
        <v>8</v>
      </c>
      <c r="M27" s="14"/>
      <c r="N27" s="2" t="str">
        <f t="shared" si="3"/>
        <v/>
      </c>
      <c r="O27" s="22" t="s">
        <v>10</v>
      </c>
      <c r="P27" s="22" t="str">
        <f t="shared" si="17"/>
        <v/>
      </c>
      <c r="Q27" s="3" t="s">
        <v>11</v>
      </c>
      <c r="R27" s="79"/>
      <c r="S27" s="80"/>
      <c r="T27" s="4" t="s">
        <v>12</v>
      </c>
      <c r="U27" s="79"/>
      <c r="V27" s="80"/>
      <c r="W27" s="4" t="s">
        <v>12</v>
      </c>
      <c r="X27" s="80"/>
      <c r="Y27" s="81"/>
      <c r="Z27" s="4" t="s">
        <v>12</v>
      </c>
      <c r="AA27" s="15"/>
      <c r="AB27" s="5" t="str">
        <f t="shared" si="5"/>
        <v/>
      </c>
      <c r="AC27" s="20" t="s">
        <v>8</v>
      </c>
      <c r="AD27" s="6" t="str">
        <f t="shared" si="18"/>
        <v/>
      </c>
      <c r="AE27" s="20" t="s">
        <v>9</v>
      </c>
      <c r="AF27" s="6" t="str">
        <f t="shared" si="19"/>
        <v/>
      </c>
      <c r="AG27" s="20" t="s">
        <v>8</v>
      </c>
      <c r="AH27" s="6" t="str">
        <f t="shared" si="7"/>
        <v/>
      </c>
      <c r="AI27" s="7" t="str">
        <f t="shared" si="20"/>
        <v/>
      </c>
      <c r="AJ27" s="20" t="s">
        <v>10</v>
      </c>
      <c r="AK27" s="8" t="str">
        <f t="shared" si="9"/>
        <v/>
      </c>
      <c r="AL27" s="9" t="s">
        <v>11</v>
      </c>
      <c r="AM27" s="7" t="str">
        <f t="shared" si="10"/>
        <v/>
      </c>
      <c r="AN27" s="20" t="s">
        <v>10</v>
      </c>
      <c r="AO27" s="8" t="str">
        <f t="shared" si="11"/>
        <v/>
      </c>
      <c r="AP27" s="10" t="s">
        <v>11</v>
      </c>
      <c r="AQ27" s="15" t="str" cm="1">
        <f t="array" ref="AQ27">IF(tbl利用3[[#This Row],[利用日]]="","",ROW()-ROW(tbl利用3[#Headers]))</f>
        <v/>
      </c>
      <c r="AR27" s="32" t="str">
        <f t="shared" si="12"/>
        <v/>
      </c>
      <c r="AS27" s="15"/>
      <c r="AT27" s="43" t="str">
        <f t="shared" si="21"/>
        <v/>
      </c>
      <c r="AU27" s="1" t="str">
        <f t="shared" si="14"/>
        <v/>
      </c>
      <c r="AV27" s="1" t="str">
        <f t="shared" si="15"/>
        <v/>
      </c>
      <c r="AW27" s="1" t="str">
        <f>IF(tbl利用3[[#This Row],[利用日]]="","",N(tbl利用3[[#This Row],[利用時間_時]])*60+N(tbl利用3[[#This Row],[利用時間_分]]))</f>
        <v/>
      </c>
      <c r="AX27" s="44" t="str">
        <f t="shared" si="16"/>
        <v/>
      </c>
      <c r="AY27" s="44" t="str">
        <f t="shared" si="1"/>
        <v/>
      </c>
      <c r="AZ27" s="45" t="str">
        <f>IF(tbl利用3[[#This Row],[利用日]]="","",MAX(0,N(tbl利用3[[#This Row],[割引前利用額]])-N(tbl利用3[[#This Row],[割引額]])))</f>
        <v/>
      </c>
      <c r="BA27" s="45" t="str">
        <f>IF(OR(tbl利用3[[#This Row],[利用日]]="",tbl利用3[[#This Row],[利用分数]]&lt;=0),"",N(tbl利用3[[#This Row],[割引前利用額]])/tbl利用3[[#This Row],[利用分数]]*60)</f>
        <v/>
      </c>
      <c r="BB27" s="45" t="str">
        <f>IF(tbl利用3[[#This Row],[利用区分]]="","",_xlfn.XLOOKUP(tbl利用3[[#This Row],[利用区分]],$AQ$4:$AQ$5,$AR$4:$AR$5,"区分未登録"))</f>
        <v/>
      </c>
      <c r="BC27" s="45" t="str">
        <f>IF(OR(tbl利用3[[#This Row],[通常時間単価]]="",NOT(ISNUMBER(tbl利用3[[#This Row],[上限単価]]))),"",MIN(tbl利用3[[#This Row],[通常時間単価]],tbl利用3[[#This Row],[上限単価]]))</f>
        <v/>
      </c>
      <c r="BD27" s="45" t="str">
        <f>IF(tbl利用3[[#This Row],[利用日]]="","",tbl利用3[[#This Row],[利用分数]]/60*tbl利用3[[#This Row],[基準単価]])</f>
        <v/>
      </c>
      <c r="BE27" s="69" t="str">
        <f>IF(OR(tbl利用3[[#This Row],[利用日]]="",tbl利用3[[#This Row],[利用区分]]=""),"",TEXT(tbl利用3[[#This Row],[利用日]],"yyyymmdd")&amp;"|"&amp;tbl利用3[[#This Row],[利用区分]])</f>
        <v/>
      </c>
      <c r="BF27" s="45" t="str">
        <f>IF(tbl利用3[[#This Row],[日別区分キー]]="","",SUMIFS(tbl利用3[明細実支出額],tbl利用3[日別区分キー],tbl利用3[[#This Row],[日別区分キー]]))</f>
        <v/>
      </c>
      <c r="BG27" s="45" t="str">
        <f>IF(tbl利用3[[#This Row],[日別区分キー]]="","",SUMIFS(tbl利用3[処理前明細基準額],tbl利用3[日別区分キー],tbl利用3[[#This Row],[日別区分キー]]))</f>
        <v/>
      </c>
      <c r="BH27" s="45" t="str">
        <f>IF(tbl利用3[[#This Row],[日別区分キー]]="","",ROUNDDOWN(MIN(tbl利用3[[#This Row],[日別区分実支出額]],tbl利用3[[#This Row],[日別区分処理前基準額]]),0))</f>
        <v/>
      </c>
      <c r="BI27" s="45" t="str">
        <f>IF(tbl利用3[[#This Row],[日別区分キー]]="","",MAX(0,tbl利用3[[#This Row],[日別区分処理前基準額]]-tbl利用3[[#This Row],[日別区分実支出額]]))</f>
        <v/>
      </c>
      <c r="BJ27" s="45">
        <f>IF(OR(tbl利用3[[#This Row],[利用日]]="",tbl利用3[[#This Row],[基準単価]]&lt;=0),0,MIN(tbl利用3[[#This Row],[利用分数]],ROUNDDOWN(tbl利用3[[#This Row],[日別区分余裕額]]/(tbl利用3[[#This Row],[基準単価]]/60),0)))</f>
        <v>0</v>
      </c>
      <c r="BK27" s="50"/>
      <c r="BL27" s="71" t="str">
        <f t="shared" si="2"/>
        <v/>
      </c>
      <c r="BM27" s="45" t="str">
        <f>IF(tbl利用3[[#This Row],[利用日]]="","",MAX(0,tbl利用3[[#This Row],[利用分数]]-N(tbl利用3[[#This Row],[切捨分数]])))</f>
        <v/>
      </c>
      <c r="BN27" s="45" t="str">
        <f>IF(tbl利用3[[#This Row],[利用日]]="","",tbl利用3[[#This Row],[処理後利用分数]]/60*tbl利用3[[#This Row],[基準単価]])</f>
        <v/>
      </c>
      <c r="BO27" s="45" t="str">
        <f>IF(tbl利用3[[#This Row],[日別区分キー]]="","",SUMIFS(tbl利用3[処理後明細基準額],tbl利用3[日別区分キー],tbl利用3[[#This Row],[日別区分キー]]))</f>
        <v/>
      </c>
      <c r="BP27" s="45" t="str">
        <f>IF(tbl利用3[[#This Row],[日別区分キー]]="","",ROUNDDOWN(MIN(tbl利用3[[#This Row],[日別区分実支出額]],tbl利用3[[#This Row],[日別区分処理後基準額]]),0))</f>
        <v/>
      </c>
      <c r="BQ27" s="45" t="str">
        <f>IF(tbl利用3[[#This Row],[日別区分キー]]="","",tbl利用3[[#This Row],[日別区分処理前補助額]]-tbl利用3[[#This Row],[日別区分補助額]])</f>
        <v/>
      </c>
      <c r="BR27" s="45" t="str">
        <f>IF(OR(tbl利用3[[#This Row],[日別区分キー]]="",tbl利用3[[#This Row],[処理後利用分数]]&lt;=0),"",ROUNDDOWN(MIN(tbl利用3[[#This Row],[日別区分実支出額]],tbl利用3[[#This Row],[日別区分処理後基準額]]-tbl利用3[[#This Row],[基準単価]]/60),0))</f>
        <v/>
      </c>
      <c r="BS27" s="52" t="str">
        <f>IF(tbl利用3[[#This Row],[次の1分切捨時補助額]]="","",tbl利用3[[#This Row],[日別区分補助額]]-tbl利用3[[#This Row],[次の1分切捨時補助額]])</f>
        <v/>
      </c>
      <c r="BT27" s="45" t="str">
        <f>IF(tbl利用3[[#This Row],[日別区分キー]]="","",--(COUNTIF(INDEX(tbl利用3[日別区分キー],1):tbl利用3[[#This Row],[日別区分キー]],tbl利用3[[#This Row],[日別区分キー]])=1))</f>
        <v/>
      </c>
      <c r="BU27" s="45" t="str">
        <f>IF(tbl利用3[[#This Row],[利用区分]]="","",SUMIFS(tbl利用3[利用分数],tbl利用3[利用区分],tbl利用3[[#This Row],[利用区分]]))</f>
        <v/>
      </c>
      <c r="BV27" s="45" t="str">
        <f>IF(tbl利用3[[#This Row],[利用区分]]="","",MOD(tbl利用3[[#This Row],[区分総利用分数]],60))</f>
        <v/>
      </c>
      <c r="BW27" s="45" t="str">
        <f>IF(tbl利用3[[#This Row],[利用区分]]="","",SUMIFS(tbl利用3[切捨分数],tbl利用3[利用区分],tbl利用3[[#This Row],[利用区分]]))</f>
        <v/>
      </c>
      <c r="BX27" s="45" t="str">
        <f>IF(tbl利用3[[#This Row],[利用区分]]="","",IF(tbl利用3[[#This Row],[区分必要切捨分数]]=tbl利用3[[#This Row],[区分入力切捨合計]],"OK","要確認"))</f>
        <v/>
      </c>
      <c r="BY27"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27" s="46"/>
    </row>
    <row r="28" spans="1:78" s="1" customFormat="1" ht="28.5" customHeight="1" x14ac:dyDescent="0.4">
      <c r="A28" s="19">
        <v>21</v>
      </c>
      <c r="B28" s="75"/>
      <c r="C28" s="76"/>
      <c r="D28" s="76"/>
      <c r="E28" s="76"/>
      <c r="F28" s="34"/>
      <c r="G28" s="13"/>
      <c r="H28" s="22" t="s">
        <v>8</v>
      </c>
      <c r="I28" s="14"/>
      <c r="J28" s="22" t="s">
        <v>9</v>
      </c>
      <c r="K28" s="14"/>
      <c r="L28" s="22" t="s">
        <v>8</v>
      </c>
      <c r="M28" s="14"/>
      <c r="N28" s="2" t="str">
        <f t="shared" si="3"/>
        <v/>
      </c>
      <c r="O28" s="22" t="s">
        <v>10</v>
      </c>
      <c r="P28" s="22" t="str">
        <f t="shared" si="17"/>
        <v/>
      </c>
      <c r="Q28" s="3" t="s">
        <v>11</v>
      </c>
      <c r="R28" s="79"/>
      <c r="S28" s="80"/>
      <c r="T28" s="4" t="s">
        <v>12</v>
      </c>
      <c r="U28" s="79"/>
      <c r="V28" s="80"/>
      <c r="W28" s="4" t="s">
        <v>12</v>
      </c>
      <c r="X28" s="80"/>
      <c r="Y28" s="81"/>
      <c r="Z28" s="4" t="s">
        <v>12</v>
      </c>
      <c r="AA28" s="15"/>
      <c r="AB28" s="5" t="str">
        <f t="shared" si="5"/>
        <v/>
      </c>
      <c r="AC28" s="20" t="s">
        <v>8</v>
      </c>
      <c r="AD28" s="6" t="str">
        <f t="shared" si="18"/>
        <v/>
      </c>
      <c r="AE28" s="20" t="s">
        <v>9</v>
      </c>
      <c r="AF28" s="6" t="str">
        <f t="shared" si="19"/>
        <v/>
      </c>
      <c r="AG28" s="20" t="s">
        <v>8</v>
      </c>
      <c r="AH28" s="6" t="str">
        <f t="shared" si="7"/>
        <v/>
      </c>
      <c r="AI28" s="7" t="str">
        <f t="shared" si="20"/>
        <v/>
      </c>
      <c r="AJ28" s="20" t="s">
        <v>10</v>
      </c>
      <c r="AK28" s="8" t="str">
        <f t="shared" si="9"/>
        <v/>
      </c>
      <c r="AL28" s="9" t="s">
        <v>11</v>
      </c>
      <c r="AM28" s="7" t="str">
        <f t="shared" si="10"/>
        <v/>
      </c>
      <c r="AN28" s="20" t="s">
        <v>10</v>
      </c>
      <c r="AO28" s="8" t="str">
        <f t="shared" si="11"/>
        <v/>
      </c>
      <c r="AP28" s="10" t="s">
        <v>11</v>
      </c>
      <c r="AQ28" s="15" t="str" cm="1">
        <f t="array" ref="AQ28">IF(tbl利用3[[#This Row],[利用日]]="","",ROW()-ROW(tbl利用3[#Headers]))</f>
        <v/>
      </c>
      <c r="AR28" s="32" t="str">
        <f t="shared" si="12"/>
        <v/>
      </c>
      <c r="AS28" s="15"/>
      <c r="AT28" s="43" t="str">
        <f t="shared" si="21"/>
        <v/>
      </c>
      <c r="AU28" s="1" t="str">
        <f t="shared" si="14"/>
        <v/>
      </c>
      <c r="AV28" s="1" t="str">
        <f t="shared" si="15"/>
        <v/>
      </c>
      <c r="AW28" s="1" t="str">
        <f>IF(tbl利用3[[#This Row],[利用日]]="","",N(tbl利用3[[#This Row],[利用時間_時]])*60+N(tbl利用3[[#This Row],[利用時間_分]]))</f>
        <v/>
      </c>
      <c r="AX28" s="44" t="str">
        <f t="shared" si="16"/>
        <v/>
      </c>
      <c r="AY28" s="44" t="str">
        <f t="shared" si="1"/>
        <v/>
      </c>
      <c r="AZ28" s="45" t="str">
        <f>IF(tbl利用3[[#This Row],[利用日]]="","",MAX(0,N(tbl利用3[[#This Row],[割引前利用額]])-N(tbl利用3[[#This Row],[割引額]])))</f>
        <v/>
      </c>
      <c r="BA28" s="45" t="str">
        <f>IF(OR(tbl利用3[[#This Row],[利用日]]="",tbl利用3[[#This Row],[利用分数]]&lt;=0),"",N(tbl利用3[[#This Row],[割引前利用額]])/tbl利用3[[#This Row],[利用分数]]*60)</f>
        <v/>
      </c>
      <c r="BB28" s="45" t="str">
        <f>IF(tbl利用3[[#This Row],[利用区分]]="","",_xlfn.XLOOKUP(tbl利用3[[#This Row],[利用区分]],$AQ$4:$AQ$5,$AR$4:$AR$5,"区分未登録"))</f>
        <v/>
      </c>
      <c r="BC28" s="45" t="str">
        <f>IF(OR(tbl利用3[[#This Row],[通常時間単価]]="",NOT(ISNUMBER(tbl利用3[[#This Row],[上限単価]]))),"",MIN(tbl利用3[[#This Row],[通常時間単価]],tbl利用3[[#This Row],[上限単価]]))</f>
        <v/>
      </c>
      <c r="BD28" s="45" t="str">
        <f>IF(tbl利用3[[#This Row],[利用日]]="","",tbl利用3[[#This Row],[利用分数]]/60*tbl利用3[[#This Row],[基準単価]])</f>
        <v/>
      </c>
      <c r="BE28" s="69" t="str">
        <f>IF(OR(tbl利用3[[#This Row],[利用日]]="",tbl利用3[[#This Row],[利用区分]]=""),"",TEXT(tbl利用3[[#This Row],[利用日]],"yyyymmdd")&amp;"|"&amp;tbl利用3[[#This Row],[利用区分]])</f>
        <v/>
      </c>
      <c r="BF28" s="45" t="str">
        <f>IF(tbl利用3[[#This Row],[日別区分キー]]="","",SUMIFS(tbl利用3[明細実支出額],tbl利用3[日別区分キー],tbl利用3[[#This Row],[日別区分キー]]))</f>
        <v/>
      </c>
      <c r="BG28" s="45" t="str">
        <f>IF(tbl利用3[[#This Row],[日別区分キー]]="","",SUMIFS(tbl利用3[処理前明細基準額],tbl利用3[日別区分キー],tbl利用3[[#This Row],[日別区分キー]]))</f>
        <v/>
      </c>
      <c r="BH28" s="45" t="str">
        <f>IF(tbl利用3[[#This Row],[日別区分キー]]="","",ROUNDDOWN(MIN(tbl利用3[[#This Row],[日別区分実支出額]],tbl利用3[[#This Row],[日別区分処理前基準額]]),0))</f>
        <v/>
      </c>
      <c r="BI28" s="45" t="str">
        <f>IF(tbl利用3[[#This Row],[日別区分キー]]="","",MAX(0,tbl利用3[[#This Row],[日別区分処理前基準額]]-tbl利用3[[#This Row],[日別区分実支出額]]))</f>
        <v/>
      </c>
      <c r="BJ28" s="45">
        <f>IF(OR(tbl利用3[[#This Row],[利用日]]="",tbl利用3[[#This Row],[基準単価]]&lt;=0),0,MIN(tbl利用3[[#This Row],[利用分数]],ROUNDDOWN(tbl利用3[[#This Row],[日別区分余裕額]]/(tbl利用3[[#This Row],[基準単価]]/60),0)))</f>
        <v>0</v>
      </c>
      <c r="BK28" s="50"/>
      <c r="BL28" s="71" t="str">
        <f t="shared" si="2"/>
        <v/>
      </c>
      <c r="BM28" s="45" t="str">
        <f>IF(tbl利用3[[#This Row],[利用日]]="","",MAX(0,tbl利用3[[#This Row],[利用分数]]-N(tbl利用3[[#This Row],[切捨分数]])))</f>
        <v/>
      </c>
      <c r="BN28" s="45" t="str">
        <f>IF(tbl利用3[[#This Row],[利用日]]="","",tbl利用3[[#This Row],[処理後利用分数]]/60*tbl利用3[[#This Row],[基準単価]])</f>
        <v/>
      </c>
      <c r="BO28" s="45" t="str">
        <f>IF(tbl利用3[[#This Row],[日別区分キー]]="","",SUMIFS(tbl利用3[処理後明細基準額],tbl利用3[日別区分キー],tbl利用3[[#This Row],[日別区分キー]]))</f>
        <v/>
      </c>
      <c r="BP28" s="45" t="str">
        <f>IF(tbl利用3[[#This Row],[日別区分キー]]="","",ROUNDDOWN(MIN(tbl利用3[[#This Row],[日別区分実支出額]],tbl利用3[[#This Row],[日別区分処理後基準額]]),0))</f>
        <v/>
      </c>
      <c r="BQ28" s="45" t="str">
        <f>IF(tbl利用3[[#This Row],[日別区分キー]]="","",tbl利用3[[#This Row],[日別区分処理前補助額]]-tbl利用3[[#This Row],[日別区分補助額]])</f>
        <v/>
      </c>
      <c r="BR28" s="45" t="str">
        <f>IF(OR(tbl利用3[[#This Row],[日別区分キー]]="",tbl利用3[[#This Row],[処理後利用分数]]&lt;=0),"",ROUNDDOWN(MIN(tbl利用3[[#This Row],[日別区分実支出額]],tbl利用3[[#This Row],[日別区分処理後基準額]]-tbl利用3[[#This Row],[基準単価]]/60),0))</f>
        <v/>
      </c>
      <c r="BS28" s="52" t="str">
        <f>IF(tbl利用3[[#This Row],[次の1分切捨時補助額]]="","",tbl利用3[[#This Row],[日別区分補助額]]-tbl利用3[[#This Row],[次の1分切捨時補助額]])</f>
        <v/>
      </c>
      <c r="BT28" s="45" t="str">
        <f>IF(tbl利用3[[#This Row],[日別区分キー]]="","",--(COUNTIF(INDEX(tbl利用3[日別区分キー],1):tbl利用3[[#This Row],[日別区分キー]],tbl利用3[[#This Row],[日別区分キー]])=1))</f>
        <v/>
      </c>
      <c r="BU28" s="45" t="str">
        <f>IF(tbl利用3[[#This Row],[利用区分]]="","",SUMIFS(tbl利用3[利用分数],tbl利用3[利用区分],tbl利用3[[#This Row],[利用区分]]))</f>
        <v/>
      </c>
      <c r="BV28" s="45" t="str">
        <f>IF(tbl利用3[[#This Row],[利用区分]]="","",MOD(tbl利用3[[#This Row],[区分総利用分数]],60))</f>
        <v/>
      </c>
      <c r="BW28" s="45" t="str">
        <f>IF(tbl利用3[[#This Row],[利用区分]]="","",SUMIFS(tbl利用3[切捨分数],tbl利用3[利用区分],tbl利用3[[#This Row],[利用区分]]))</f>
        <v/>
      </c>
      <c r="BX28" s="45" t="str">
        <f>IF(tbl利用3[[#This Row],[利用区分]]="","",IF(tbl利用3[[#This Row],[区分必要切捨分数]]=tbl利用3[[#This Row],[区分入力切捨合計]],"OK","要確認"))</f>
        <v/>
      </c>
      <c r="BY28"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28" s="46"/>
    </row>
    <row r="29" spans="1:78" s="1" customFormat="1" ht="28.5" customHeight="1" x14ac:dyDescent="0.4">
      <c r="A29" s="19">
        <v>22</v>
      </c>
      <c r="B29" s="75"/>
      <c r="C29" s="76"/>
      <c r="D29" s="76"/>
      <c r="E29" s="76"/>
      <c r="F29" s="34"/>
      <c r="G29" s="13"/>
      <c r="H29" s="22" t="s">
        <v>8</v>
      </c>
      <c r="I29" s="14"/>
      <c r="J29" s="22" t="s">
        <v>9</v>
      </c>
      <c r="K29" s="14"/>
      <c r="L29" s="22" t="s">
        <v>8</v>
      </c>
      <c r="M29" s="14"/>
      <c r="N29" s="2" t="str">
        <f t="shared" si="3"/>
        <v/>
      </c>
      <c r="O29" s="22" t="s">
        <v>10</v>
      </c>
      <c r="P29" s="22" t="str">
        <f t="shared" si="17"/>
        <v/>
      </c>
      <c r="Q29" s="3" t="s">
        <v>11</v>
      </c>
      <c r="R29" s="79"/>
      <c r="S29" s="80"/>
      <c r="T29" s="4" t="s">
        <v>12</v>
      </c>
      <c r="U29" s="79"/>
      <c r="V29" s="80"/>
      <c r="W29" s="4" t="s">
        <v>12</v>
      </c>
      <c r="X29" s="80"/>
      <c r="Y29" s="81"/>
      <c r="Z29" s="4" t="s">
        <v>12</v>
      </c>
      <c r="AA29" s="15"/>
      <c r="AB29" s="5" t="str">
        <f t="shared" si="5"/>
        <v/>
      </c>
      <c r="AC29" s="20" t="s">
        <v>8</v>
      </c>
      <c r="AD29" s="6" t="str">
        <f t="shared" si="18"/>
        <v/>
      </c>
      <c r="AE29" s="20" t="s">
        <v>9</v>
      </c>
      <c r="AF29" s="6" t="str">
        <f t="shared" si="19"/>
        <v/>
      </c>
      <c r="AG29" s="20" t="s">
        <v>8</v>
      </c>
      <c r="AH29" s="6" t="str">
        <f t="shared" si="7"/>
        <v/>
      </c>
      <c r="AI29" s="7" t="str">
        <f t="shared" si="20"/>
        <v/>
      </c>
      <c r="AJ29" s="20" t="s">
        <v>10</v>
      </c>
      <c r="AK29" s="8" t="str">
        <f t="shared" si="9"/>
        <v/>
      </c>
      <c r="AL29" s="9" t="s">
        <v>11</v>
      </c>
      <c r="AM29" s="7" t="str">
        <f t="shared" si="10"/>
        <v/>
      </c>
      <c r="AN29" s="20" t="s">
        <v>10</v>
      </c>
      <c r="AO29" s="8" t="str">
        <f t="shared" si="11"/>
        <v/>
      </c>
      <c r="AP29" s="10" t="s">
        <v>11</v>
      </c>
      <c r="AQ29" s="15" t="str" cm="1">
        <f t="array" ref="AQ29">IF(tbl利用3[[#This Row],[利用日]]="","",ROW()-ROW(tbl利用3[#Headers]))</f>
        <v/>
      </c>
      <c r="AR29" s="32" t="str">
        <f t="shared" si="12"/>
        <v/>
      </c>
      <c r="AS29" s="15"/>
      <c r="AT29" s="43" t="str">
        <f t="shared" si="21"/>
        <v/>
      </c>
      <c r="AU29" s="1" t="str">
        <f t="shared" si="14"/>
        <v/>
      </c>
      <c r="AV29" s="1" t="str">
        <f t="shared" si="15"/>
        <v/>
      </c>
      <c r="AW29" s="1" t="str">
        <f>IF(tbl利用3[[#This Row],[利用日]]="","",N(tbl利用3[[#This Row],[利用時間_時]])*60+N(tbl利用3[[#This Row],[利用時間_分]]))</f>
        <v/>
      </c>
      <c r="AX29" s="44" t="str">
        <f t="shared" si="16"/>
        <v/>
      </c>
      <c r="AY29" s="44" t="str">
        <f t="shared" si="1"/>
        <v/>
      </c>
      <c r="AZ29" s="45" t="str">
        <f>IF(tbl利用3[[#This Row],[利用日]]="","",MAX(0,N(tbl利用3[[#This Row],[割引前利用額]])-N(tbl利用3[[#This Row],[割引額]])))</f>
        <v/>
      </c>
      <c r="BA29" s="45" t="str">
        <f>IF(OR(tbl利用3[[#This Row],[利用日]]="",tbl利用3[[#This Row],[利用分数]]&lt;=0),"",N(tbl利用3[[#This Row],[割引前利用額]])/tbl利用3[[#This Row],[利用分数]]*60)</f>
        <v/>
      </c>
      <c r="BB29" s="45" t="str">
        <f>IF(tbl利用3[[#This Row],[利用区分]]="","",_xlfn.XLOOKUP(tbl利用3[[#This Row],[利用区分]],$AQ$4:$AQ$5,$AR$4:$AR$5,"区分未登録"))</f>
        <v/>
      </c>
      <c r="BC29" s="45" t="str">
        <f>IF(OR(tbl利用3[[#This Row],[通常時間単価]]="",NOT(ISNUMBER(tbl利用3[[#This Row],[上限単価]]))),"",MIN(tbl利用3[[#This Row],[通常時間単価]],tbl利用3[[#This Row],[上限単価]]))</f>
        <v/>
      </c>
      <c r="BD29" s="45" t="str">
        <f>IF(tbl利用3[[#This Row],[利用日]]="","",tbl利用3[[#This Row],[利用分数]]/60*tbl利用3[[#This Row],[基準単価]])</f>
        <v/>
      </c>
      <c r="BE29" s="69" t="str">
        <f>IF(OR(tbl利用3[[#This Row],[利用日]]="",tbl利用3[[#This Row],[利用区分]]=""),"",TEXT(tbl利用3[[#This Row],[利用日]],"yyyymmdd")&amp;"|"&amp;tbl利用3[[#This Row],[利用区分]])</f>
        <v/>
      </c>
      <c r="BF29" s="45" t="str">
        <f>IF(tbl利用3[[#This Row],[日別区分キー]]="","",SUMIFS(tbl利用3[明細実支出額],tbl利用3[日別区分キー],tbl利用3[[#This Row],[日別区分キー]]))</f>
        <v/>
      </c>
      <c r="BG29" s="45" t="str">
        <f>IF(tbl利用3[[#This Row],[日別区分キー]]="","",SUMIFS(tbl利用3[処理前明細基準額],tbl利用3[日別区分キー],tbl利用3[[#This Row],[日別区分キー]]))</f>
        <v/>
      </c>
      <c r="BH29" s="45" t="str">
        <f>IF(tbl利用3[[#This Row],[日別区分キー]]="","",ROUNDDOWN(MIN(tbl利用3[[#This Row],[日別区分実支出額]],tbl利用3[[#This Row],[日別区分処理前基準額]]),0))</f>
        <v/>
      </c>
      <c r="BI29" s="45" t="str">
        <f>IF(tbl利用3[[#This Row],[日別区分キー]]="","",MAX(0,tbl利用3[[#This Row],[日別区分処理前基準額]]-tbl利用3[[#This Row],[日別区分実支出額]]))</f>
        <v/>
      </c>
      <c r="BJ29" s="45">
        <f>IF(OR(tbl利用3[[#This Row],[利用日]]="",tbl利用3[[#This Row],[基準単価]]&lt;=0),0,MIN(tbl利用3[[#This Row],[利用分数]],ROUNDDOWN(tbl利用3[[#This Row],[日別区分余裕額]]/(tbl利用3[[#This Row],[基準単価]]/60),0)))</f>
        <v>0</v>
      </c>
      <c r="BK29" s="50"/>
      <c r="BL29" s="71" t="str">
        <f t="shared" si="2"/>
        <v/>
      </c>
      <c r="BM29" s="45" t="str">
        <f>IF(tbl利用3[[#This Row],[利用日]]="","",MAX(0,tbl利用3[[#This Row],[利用分数]]-N(tbl利用3[[#This Row],[切捨分数]])))</f>
        <v/>
      </c>
      <c r="BN29" s="45" t="str">
        <f>IF(tbl利用3[[#This Row],[利用日]]="","",tbl利用3[[#This Row],[処理後利用分数]]/60*tbl利用3[[#This Row],[基準単価]])</f>
        <v/>
      </c>
      <c r="BO29" s="45" t="str">
        <f>IF(tbl利用3[[#This Row],[日別区分キー]]="","",SUMIFS(tbl利用3[処理後明細基準額],tbl利用3[日別区分キー],tbl利用3[[#This Row],[日別区分キー]]))</f>
        <v/>
      </c>
      <c r="BP29" s="45" t="str">
        <f>IF(tbl利用3[[#This Row],[日別区分キー]]="","",ROUNDDOWN(MIN(tbl利用3[[#This Row],[日別区分実支出額]],tbl利用3[[#This Row],[日別区分処理後基準額]]),0))</f>
        <v/>
      </c>
      <c r="BQ29" s="45" t="str">
        <f>IF(tbl利用3[[#This Row],[日別区分キー]]="","",tbl利用3[[#This Row],[日別区分処理前補助額]]-tbl利用3[[#This Row],[日別区分補助額]])</f>
        <v/>
      </c>
      <c r="BR29" s="45" t="str">
        <f>IF(OR(tbl利用3[[#This Row],[日別区分キー]]="",tbl利用3[[#This Row],[処理後利用分数]]&lt;=0),"",ROUNDDOWN(MIN(tbl利用3[[#This Row],[日別区分実支出額]],tbl利用3[[#This Row],[日別区分処理後基準額]]-tbl利用3[[#This Row],[基準単価]]/60),0))</f>
        <v/>
      </c>
      <c r="BS29" s="52" t="str">
        <f>IF(tbl利用3[[#This Row],[次の1分切捨時補助額]]="","",tbl利用3[[#This Row],[日別区分補助額]]-tbl利用3[[#This Row],[次の1分切捨時補助額]])</f>
        <v/>
      </c>
      <c r="BT29" s="45" t="str">
        <f>IF(tbl利用3[[#This Row],[日別区分キー]]="","",--(COUNTIF(INDEX(tbl利用3[日別区分キー],1):tbl利用3[[#This Row],[日別区分キー]],tbl利用3[[#This Row],[日別区分キー]])=1))</f>
        <v/>
      </c>
      <c r="BU29" s="45" t="str">
        <f>IF(tbl利用3[[#This Row],[利用区分]]="","",SUMIFS(tbl利用3[利用分数],tbl利用3[利用区分],tbl利用3[[#This Row],[利用区分]]))</f>
        <v/>
      </c>
      <c r="BV29" s="45" t="str">
        <f>IF(tbl利用3[[#This Row],[利用区分]]="","",MOD(tbl利用3[[#This Row],[区分総利用分数]],60))</f>
        <v/>
      </c>
      <c r="BW29" s="45" t="str">
        <f>IF(tbl利用3[[#This Row],[利用区分]]="","",SUMIFS(tbl利用3[切捨分数],tbl利用3[利用区分],tbl利用3[[#This Row],[利用区分]]))</f>
        <v/>
      </c>
      <c r="BX29" s="45" t="str">
        <f>IF(tbl利用3[[#This Row],[利用区分]]="","",IF(tbl利用3[[#This Row],[区分必要切捨分数]]=tbl利用3[[#This Row],[区分入力切捨合計]],"OK","要確認"))</f>
        <v/>
      </c>
      <c r="BY29"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29" s="46"/>
    </row>
    <row r="30" spans="1:78" s="1" customFormat="1" ht="28.5" customHeight="1" x14ac:dyDescent="0.4">
      <c r="A30" s="19">
        <v>23</v>
      </c>
      <c r="B30" s="75"/>
      <c r="C30" s="76"/>
      <c r="D30" s="76"/>
      <c r="E30" s="76"/>
      <c r="F30" s="34"/>
      <c r="G30" s="13"/>
      <c r="H30" s="22" t="s">
        <v>8</v>
      </c>
      <c r="I30" s="14"/>
      <c r="J30" s="22" t="s">
        <v>9</v>
      </c>
      <c r="K30" s="14"/>
      <c r="L30" s="22" t="s">
        <v>8</v>
      </c>
      <c r="M30" s="14"/>
      <c r="N30" s="2" t="str">
        <f t="shared" si="3"/>
        <v/>
      </c>
      <c r="O30" s="22" t="s">
        <v>10</v>
      </c>
      <c r="P30" s="22" t="str">
        <f t="shared" si="17"/>
        <v/>
      </c>
      <c r="Q30" s="3" t="s">
        <v>11</v>
      </c>
      <c r="R30" s="79"/>
      <c r="S30" s="80"/>
      <c r="T30" s="4" t="s">
        <v>12</v>
      </c>
      <c r="U30" s="79"/>
      <c r="V30" s="80"/>
      <c r="W30" s="4" t="s">
        <v>12</v>
      </c>
      <c r="X30" s="80"/>
      <c r="Y30" s="81"/>
      <c r="Z30" s="4" t="s">
        <v>12</v>
      </c>
      <c r="AA30" s="15"/>
      <c r="AB30" s="5" t="str">
        <f t="shared" si="5"/>
        <v/>
      </c>
      <c r="AC30" s="20" t="s">
        <v>8</v>
      </c>
      <c r="AD30" s="6" t="str">
        <f t="shared" si="18"/>
        <v/>
      </c>
      <c r="AE30" s="20" t="s">
        <v>9</v>
      </c>
      <c r="AF30" s="6" t="str">
        <f t="shared" si="19"/>
        <v/>
      </c>
      <c r="AG30" s="20" t="s">
        <v>8</v>
      </c>
      <c r="AH30" s="6" t="str">
        <f t="shared" si="7"/>
        <v/>
      </c>
      <c r="AI30" s="7" t="str">
        <f t="shared" si="20"/>
        <v/>
      </c>
      <c r="AJ30" s="20" t="s">
        <v>10</v>
      </c>
      <c r="AK30" s="8" t="str">
        <f t="shared" si="9"/>
        <v/>
      </c>
      <c r="AL30" s="9" t="s">
        <v>11</v>
      </c>
      <c r="AM30" s="7" t="str">
        <f t="shared" si="10"/>
        <v/>
      </c>
      <c r="AN30" s="20" t="s">
        <v>10</v>
      </c>
      <c r="AO30" s="8" t="str">
        <f t="shared" si="11"/>
        <v/>
      </c>
      <c r="AP30" s="10" t="s">
        <v>11</v>
      </c>
      <c r="AQ30" s="15" t="str" cm="1">
        <f t="array" ref="AQ30">IF(tbl利用3[[#This Row],[利用日]]="","",ROW()-ROW(tbl利用3[#Headers]))</f>
        <v/>
      </c>
      <c r="AR30" s="32" t="str">
        <f>IF(B30="","",B30)</f>
        <v/>
      </c>
      <c r="AS30" s="15"/>
      <c r="AT30" s="43" t="str">
        <f>IF(F30="","",F30)</f>
        <v/>
      </c>
      <c r="AU30" s="1" t="str">
        <f>IF(F30="利用区分１",AI30,AM30)</f>
        <v/>
      </c>
      <c r="AV30" s="1" t="str">
        <f>IF(F30="利用区分１",AK30,AO30)</f>
        <v/>
      </c>
      <c r="AW30" s="1" t="str">
        <f>IF(tbl利用3[[#This Row],[利用日]]="","",N(tbl利用3[[#This Row],[利用時間_時]])*60+N(tbl利用3[[#This Row],[利用時間_分]]))</f>
        <v/>
      </c>
      <c r="AX30" s="44" t="str">
        <f t="shared" si="16"/>
        <v/>
      </c>
      <c r="AY30" s="44" t="str">
        <f t="shared" si="1"/>
        <v/>
      </c>
      <c r="AZ30" s="45" t="str">
        <f>IF(tbl利用3[[#This Row],[利用日]]="","",MAX(0,N(tbl利用3[[#This Row],[割引前利用額]])-N(tbl利用3[[#This Row],[割引額]])))</f>
        <v/>
      </c>
      <c r="BA30" s="45" t="str">
        <f>IF(OR(tbl利用3[[#This Row],[利用日]]="",tbl利用3[[#This Row],[利用分数]]&lt;=0),"",N(tbl利用3[[#This Row],[割引前利用額]])/tbl利用3[[#This Row],[利用分数]]*60)</f>
        <v/>
      </c>
      <c r="BB30" s="45" t="str">
        <f>IF(tbl利用3[[#This Row],[利用区分]]="","",_xlfn.XLOOKUP(tbl利用3[[#This Row],[利用区分]],$AQ$4:$AQ$5,$AR$4:$AR$5,"区分未登録"))</f>
        <v/>
      </c>
      <c r="BC30" s="45" t="str">
        <f>IF(OR(tbl利用3[[#This Row],[通常時間単価]]="",NOT(ISNUMBER(tbl利用3[[#This Row],[上限単価]]))),"",MIN(tbl利用3[[#This Row],[通常時間単価]],tbl利用3[[#This Row],[上限単価]]))</f>
        <v/>
      </c>
      <c r="BD30" s="45" t="str">
        <f>IF(tbl利用3[[#This Row],[利用日]]="","",tbl利用3[[#This Row],[利用分数]]/60*tbl利用3[[#This Row],[基準単価]])</f>
        <v/>
      </c>
      <c r="BE30" s="69" t="str">
        <f>IF(OR(tbl利用3[[#This Row],[利用日]]="",tbl利用3[[#This Row],[利用区分]]=""),"",TEXT(tbl利用3[[#This Row],[利用日]],"yyyymmdd")&amp;"|"&amp;tbl利用3[[#This Row],[利用区分]])</f>
        <v/>
      </c>
      <c r="BF30" s="45" t="str">
        <f>IF(tbl利用3[[#This Row],[日別区分キー]]="","",SUMIFS(tbl利用3[明細実支出額],tbl利用3[日別区分キー],tbl利用3[[#This Row],[日別区分キー]]))</f>
        <v/>
      </c>
      <c r="BG30" s="45" t="str">
        <f>IF(tbl利用3[[#This Row],[日別区分キー]]="","",SUMIFS(tbl利用3[処理前明細基準額],tbl利用3[日別区分キー],tbl利用3[[#This Row],[日別区分キー]]))</f>
        <v/>
      </c>
      <c r="BH30" s="45" t="str">
        <f>IF(tbl利用3[[#This Row],[日別区分キー]]="","",ROUNDDOWN(MIN(tbl利用3[[#This Row],[日別区分実支出額]],tbl利用3[[#This Row],[日別区分処理前基準額]]),0))</f>
        <v/>
      </c>
      <c r="BI30" s="45" t="str">
        <f>IF(tbl利用3[[#This Row],[日別区分キー]]="","",MAX(0,tbl利用3[[#This Row],[日別区分処理前基準額]]-tbl利用3[[#This Row],[日別区分実支出額]]))</f>
        <v/>
      </c>
      <c r="BJ30" s="45">
        <f>IF(OR(tbl利用3[[#This Row],[利用日]]="",tbl利用3[[#This Row],[基準単価]]&lt;=0),0,MIN(tbl利用3[[#This Row],[利用分数]],ROUNDDOWN(tbl利用3[[#This Row],[日別区分余裕額]]/(tbl利用3[[#This Row],[基準単価]]/60),0)))</f>
        <v>0</v>
      </c>
      <c r="BK30" s="50"/>
      <c r="BL30" s="71" t="str">
        <f t="shared" si="2"/>
        <v/>
      </c>
      <c r="BM30" s="45" t="str">
        <f>IF(tbl利用3[[#This Row],[利用日]]="","",MAX(0,tbl利用3[[#This Row],[利用分数]]-N(tbl利用3[[#This Row],[切捨分数]])))</f>
        <v/>
      </c>
      <c r="BN30" s="45" t="str">
        <f>IF(tbl利用3[[#This Row],[利用日]]="","",tbl利用3[[#This Row],[処理後利用分数]]/60*tbl利用3[[#This Row],[基準単価]])</f>
        <v/>
      </c>
      <c r="BO30" s="45" t="str">
        <f>IF(tbl利用3[[#This Row],[日別区分キー]]="","",SUMIFS(tbl利用3[処理後明細基準額],tbl利用3[日別区分キー],tbl利用3[[#This Row],[日別区分キー]]))</f>
        <v/>
      </c>
      <c r="BP30" s="45" t="str">
        <f>IF(tbl利用3[[#This Row],[日別区分キー]]="","",ROUNDDOWN(MIN(tbl利用3[[#This Row],[日別区分実支出額]],tbl利用3[[#This Row],[日別区分処理後基準額]]),0))</f>
        <v/>
      </c>
      <c r="BQ30" s="45" t="str">
        <f>IF(tbl利用3[[#This Row],[日別区分キー]]="","",tbl利用3[[#This Row],[日別区分処理前補助額]]-tbl利用3[[#This Row],[日別区分補助額]])</f>
        <v/>
      </c>
      <c r="BR30" s="45" t="str">
        <f>IF(OR(tbl利用3[[#This Row],[日別区分キー]]="",tbl利用3[[#This Row],[処理後利用分数]]&lt;=0),"",ROUNDDOWN(MIN(tbl利用3[[#This Row],[日別区分実支出額]],tbl利用3[[#This Row],[日別区分処理後基準額]]-tbl利用3[[#This Row],[基準単価]]/60),0))</f>
        <v/>
      </c>
      <c r="BS30" s="52" t="str">
        <f>IF(tbl利用3[[#This Row],[次の1分切捨時補助額]]="","",tbl利用3[[#This Row],[日別区分補助額]]-tbl利用3[[#This Row],[次の1分切捨時補助額]])</f>
        <v/>
      </c>
      <c r="BT30" s="45" t="str">
        <f>IF(tbl利用3[[#This Row],[日別区分キー]]="","",--(COUNTIF(INDEX(tbl利用3[日別区分キー],1):tbl利用3[[#This Row],[日別区分キー]],tbl利用3[[#This Row],[日別区分キー]])=1))</f>
        <v/>
      </c>
      <c r="BU30" s="45" t="str">
        <f>IF(tbl利用3[[#This Row],[利用区分]]="","",SUMIFS(tbl利用3[利用分数],tbl利用3[利用区分],tbl利用3[[#This Row],[利用区分]]))</f>
        <v/>
      </c>
      <c r="BV30" s="45" t="str">
        <f>IF(tbl利用3[[#This Row],[利用区分]]="","",MOD(tbl利用3[[#This Row],[区分総利用分数]],60))</f>
        <v/>
      </c>
      <c r="BW30" s="45" t="str">
        <f>IF(tbl利用3[[#This Row],[利用区分]]="","",SUMIFS(tbl利用3[切捨分数],tbl利用3[利用区分],tbl利用3[[#This Row],[利用区分]]))</f>
        <v/>
      </c>
      <c r="BX30" s="45" t="str">
        <f>IF(tbl利用3[[#This Row],[利用区分]]="","",IF(tbl利用3[[#This Row],[区分必要切捨分数]]=tbl利用3[[#This Row],[区分入力切捨合計]],"OK","要確認"))</f>
        <v/>
      </c>
      <c r="BY30"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30" s="46"/>
    </row>
    <row r="31" spans="1:78" s="1" customFormat="1" ht="28.5" customHeight="1" x14ac:dyDescent="0.4">
      <c r="A31" s="19">
        <v>24</v>
      </c>
      <c r="B31" s="75"/>
      <c r="C31" s="76"/>
      <c r="D31" s="76"/>
      <c r="E31" s="76"/>
      <c r="F31" s="34"/>
      <c r="G31" s="13"/>
      <c r="H31" s="22" t="s">
        <v>8</v>
      </c>
      <c r="I31" s="14"/>
      <c r="J31" s="22" t="s">
        <v>9</v>
      </c>
      <c r="K31" s="14"/>
      <c r="L31" s="22" t="s">
        <v>8</v>
      </c>
      <c r="M31" s="14"/>
      <c r="N31" s="2" t="str">
        <f t="shared" si="3"/>
        <v/>
      </c>
      <c r="O31" s="22" t="s">
        <v>10</v>
      </c>
      <c r="P31" s="22" t="str">
        <f t="shared" si="17"/>
        <v/>
      </c>
      <c r="Q31" s="3" t="s">
        <v>11</v>
      </c>
      <c r="R31" s="79"/>
      <c r="S31" s="80"/>
      <c r="T31" s="4" t="s">
        <v>12</v>
      </c>
      <c r="U31" s="79"/>
      <c r="V31" s="80"/>
      <c r="W31" s="4" t="s">
        <v>12</v>
      </c>
      <c r="X31" s="80"/>
      <c r="Y31" s="81"/>
      <c r="Z31" s="4" t="s">
        <v>12</v>
      </c>
      <c r="AA31" s="15"/>
      <c r="AB31" s="5" t="str">
        <f t="shared" si="5"/>
        <v/>
      </c>
      <c r="AC31" s="20" t="s">
        <v>8</v>
      </c>
      <c r="AD31" s="6" t="str">
        <f t="shared" si="18"/>
        <v/>
      </c>
      <c r="AE31" s="20" t="s">
        <v>9</v>
      </c>
      <c r="AF31" s="6" t="str">
        <f t="shared" si="19"/>
        <v/>
      </c>
      <c r="AG31" s="20" t="s">
        <v>8</v>
      </c>
      <c r="AH31" s="6" t="str">
        <f t="shared" si="7"/>
        <v/>
      </c>
      <c r="AI31" s="7" t="str">
        <f t="shared" si="20"/>
        <v/>
      </c>
      <c r="AJ31" s="20" t="s">
        <v>10</v>
      </c>
      <c r="AK31" s="8" t="str">
        <f t="shared" si="9"/>
        <v/>
      </c>
      <c r="AL31" s="9" t="s">
        <v>11</v>
      </c>
      <c r="AM31" s="7" t="str">
        <f t="shared" si="10"/>
        <v/>
      </c>
      <c r="AN31" s="20" t="s">
        <v>10</v>
      </c>
      <c r="AO31" s="8" t="str">
        <f t="shared" si="11"/>
        <v/>
      </c>
      <c r="AP31" s="10" t="s">
        <v>11</v>
      </c>
      <c r="AQ31" s="15" t="str" cm="1">
        <f t="array" ref="AQ31">IF(tbl利用3[[#This Row],[利用日]]="","",ROW()-ROW(tbl利用3[#Headers]))</f>
        <v/>
      </c>
      <c r="AR31" s="32" t="str">
        <f>IF(B31="","",B31)</f>
        <v/>
      </c>
      <c r="AS31" s="15"/>
      <c r="AT31" s="43" t="str">
        <f>IF(F31="","",F31)</f>
        <v/>
      </c>
      <c r="AU31" s="1" t="str">
        <f>IF(F31="利用区分１",AI31,AM31)</f>
        <v/>
      </c>
      <c r="AV31" s="1" t="str">
        <f>IF(F31="利用区分１",AK31,AO31)</f>
        <v/>
      </c>
      <c r="AW31" s="1" t="str">
        <f>IF(tbl利用3[[#This Row],[利用日]]="","",N(tbl利用3[[#This Row],[利用時間_時]])*60+N(tbl利用3[[#This Row],[利用時間_分]]))</f>
        <v/>
      </c>
      <c r="AX31" s="44" t="str">
        <f t="shared" si="16"/>
        <v/>
      </c>
      <c r="AY31" s="44" t="str">
        <f t="shared" si="1"/>
        <v/>
      </c>
      <c r="AZ31" s="45" t="str">
        <f>IF(tbl利用3[[#This Row],[利用日]]="","",MAX(0,N(tbl利用3[[#This Row],[割引前利用額]])-N(tbl利用3[[#This Row],[割引額]])))</f>
        <v/>
      </c>
      <c r="BA31" s="45" t="str">
        <f>IF(OR(tbl利用3[[#This Row],[利用日]]="",tbl利用3[[#This Row],[利用分数]]&lt;=0),"",N(tbl利用3[[#This Row],[割引前利用額]])/tbl利用3[[#This Row],[利用分数]]*60)</f>
        <v/>
      </c>
      <c r="BB31" s="45" t="str">
        <f>IF(tbl利用3[[#This Row],[利用区分]]="","",_xlfn.XLOOKUP(tbl利用3[[#This Row],[利用区分]],$AQ$4:$AQ$5,$AR$4:$AR$5,"区分未登録"))</f>
        <v/>
      </c>
      <c r="BC31" s="45" t="str">
        <f>IF(OR(tbl利用3[[#This Row],[通常時間単価]]="",NOT(ISNUMBER(tbl利用3[[#This Row],[上限単価]]))),"",MIN(tbl利用3[[#This Row],[通常時間単価]],tbl利用3[[#This Row],[上限単価]]))</f>
        <v/>
      </c>
      <c r="BD31" s="45" t="str">
        <f>IF(tbl利用3[[#This Row],[利用日]]="","",tbl利用3[[#This Row],[利用分数]]/60*tbl利用3[[#This Row],[基準単価]])</f>
        <v/>
      </c>
      <c r="BE31" s="69" t="str">
        <f>IF(OR(tbl利用3[[#This Row],[利用日]]="",tbl利用3[[#This Row],[利用区分]]=""),"",TEXT(tbl利用3[[#This Row],[利用日]],"yyyymmdd")&amp;"|"&amp;tbl利用3[[#This Row],[利用区分]])</f>
        <v/>
      </c>
      <c r="BF31" s="45" t="str">
        <f>IF(tbl利用3[[#This Row],[日別区分キー]]="","",SUMIFS(tbl利用3[明細実支出額],tbl利用3[日別区分キー],tbl利用3[[#This Row],[日別区分キー]]))</f>
        <v/>
      </c>
      <c r="BG31" s="45" t="str">
        <f>IF(tbl利用3[[#This Row],[日別区分キー]]="","",SUMIFS(tbl利用3[処理前明細基準額],tbl利用3[日別区分キー],tbl利用3[[#This Row],[日別区分キー]]))</f>
        <v/>
      </c>
      <c r="BH31" s="45" t="str">
        <f>IF(tbl利用3[[#This Row],[日別区分キー]]="","",ROUNDDOWN(MIN(tbl利用3[[#This Row],[日別区分実支出額]],tbl利用3[[#This Row],[日別区分処理前基準額]]),0))</f>
        <v/>
      </c>
      <c r="BI31" s="45" t="str">
        <f>IF(tbl利用3[[#This Row],[日別区分キー]]="","",MAX(0,tbl利用3[[#This Row],[日別区分処理前基準額]]-tbl利用3[[#This Row],[日別区分実支出額]]))</f>
        <v/>
      </c>
      <c r="BJ31" s="45">
        <f>IF(OR(tbl利用3[[#This Row],[利用日]]="",tbl利用3[[#This Row],[基準単価]]&lt;=0),0,MIN(tbl利用3[[#This Row],[利用分数]],ROUNDDOWN(tbl利用3[[#This Row],[日別区分余裕額]]/(tbl利用3[[#This Row],[基準単価]]/60),0)))</f>
        <v>0</v>
      </c>
      <c r="BK31" s="50"/>
      <c r="BL31" s="71" t="str">
        <f t="shared" si="2"/>
        <v/>
      </c>
      <c r="BM31" s="45" t="str">
        <f>IF(tbl利用3[[#This Row],[利用日]]="","",MAX(0,tbl利用3[[#This Row],[利用分数]]-N(tbl利用3[[#This Row],[切捨分数]])))</f>
        <v/>
      </c>
      <c r="BN31" s="45" t="str">
        <f>IF(tbl利用3[[#This Row],[利用日]]="","",tbl利用3[[#This Row],[処理後利用分数]]/60*tbl利用3[[#This Row],[基準単価]])</f>
        <v/>
      </c>
      <c r="BO31" s="45" t="str">
        <f>IF(tbl利用3[[#This Row],[日別区分キー]]="","",SUMIFS(tbl利用3[処理後明細基準額],tbl利用3[日別区分キー],tbl利用3[[#This Row],[日別区分キー]]))</f>
        <v/>
      </c>
      <c r="BP31" s="45" t="str">
        <f>IF(tbl利用3[[#This Row],[日別区分キー]]="","",ROUNDDOWN(MIN(tbl利用3[[#This Row],[日別区分実支出額]],tbl利用3[[#This Row],[日別区分処理後基準額]]),0))</f>
        <v/>
      </c>
      <c r="BQ31" s="45" t="str">
        <f>IF(tbl利用3[[#This Row],[日別区分キー]]="","",tbl利用3[[#This Row],[日別区分処理前補助額]]-tbl利用3[[#This Row],[日別区分補助額]])</f>
        <v/>
      </c>
      <c r="BR31" s="45" t="str">
        <f>IF(OR(tbl利用3[[#This Row],[日別区分キー]]="",tbl利用3[[#This Row],[処理後利用分数]]&lt;=0),"",ROUNDDOWN(MIN(tbl利用3[[#This Row],[日別区分実支出額]],tbl利用3[[#This Row],[日別区分処理後基準額]]-tbl利用3[[#This Row],[基準単価]]/60),0))</f>
        <v/>
      </c>
      <c r="BS31" s="52" t="str">
        <f>IF(tbl利用3[[#This Row],[次の1分切捨時補助額]]="","",tbl利用3[[#This Row],[日別区分補助額]]-tbl利用3[[#This Row],[次の1分切捨時補助額]])</f>
        <v/>
      </c>
      <c r="BT31" s="45" t="str">
        <f>IF(tbl利用3[[#This Row],[日別区分キー]]="","",--(COUNTIF(INDEX(tbl利用3[日別区分キー],1):tbl利用3[[#This Row],[日別区分キー]],tbl利用3[[#This Row],[日別区分キー]])=1))</f>
        <v/>
      </c>
      <c r="BU31" s="45" t="str">
        <f>IF(tbl利用3[[#This Row],[利用区分]]="","",SUMIFS(tbl利用3[利用分数],tbl利用3[利用区分],tbl利用3[[#This Row],[利用区分]]))</f>
        <v/>
      </c>
      <c r="BV31" s="45" t="str">
        <f>IF(tbl利用3[[#This Row],[利用区分]]="","",MOD(tbl利用3[[#This Row],[区分総利用分数]],60))</f>
        <v/>
      </c>
      <c r="BW31" s="45" t="str">
        <f>IF(tbl利用3[[#This Row],[利用区分]]="","",SUMIFS(tbl利用3[切捨分数],tbl利用3[利用区分],tbl利用3[[#This Row],[利用区分]]))</f>
        <v/>
      </c>
      <c r="BX31" s="45" t="str">
        <f>IF(tbl利用3[[#This Row],[利用区分]]="","",IF(tbl利用3[[#This Row],[区分必要切捨分数]]=tbl利用3[[#This Row],[区分入力切捨合計]],"OK","要確認"))</f>
        <v/>
      </c>
      <c r="BY31"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31" s="46"/>
    </row>
    <row r="32" spans="1:78" s="1" customFormat="1" ht="28.5" customHeight="1" x14ac:dyDescent="0.4">
      <c r="A32" s="19">
        <v>25</v>
      </c>
      <c r="B32" s="75"/>
      <c r="C32" s="76"/>
      <c r="D32" s="76"/>
      <c r="E32" s="76"/>
      <c r="F32" s="34"/>
      <c r="G32" s="13"/>
      <c r="H32" s="22" t="s">
        <v>8</v>
      </c>
      <c r="I32" s="14"/>
      <c r="J32" s="22" t="s">
        <v>9</v>
      </c>
      <c r="K32" s="14"/>
      <c r="L32" s="22" t="s">
        <v>8</v>
      </c>
      <c r="M32" s="14"/>
      <c r="N32" s="2" t="str">
        <f t="shared" si="3"/>
        <v/>
      </c>
      <c r="O32" s="22" t="s">
        <v>10</v>
      </c>
      <c r="P32" s="22" t="str">
        <f t="shared" si="17"/>
        <v/>
      </c>
      <c r="Q32" s="3" t="s">
        <v>11</v>
      </c>
      <c r="R32" s="79"/>
      <c r="S32" s="80"/>
      <c r="T32" s="4" t="s">
        <v>12</v>
      </c>
      <c r="U32" s="79"/>
      <c r="V32" s="80"/>
      <c r="W32" s="4" t="s">
        <v>12</v>
      </c>
      <c r="X32" s="80"/>
      <c r="Y32" s="81"/>
      <c r="Z32" s="4" t="s">
        <v>12</v>
      </c>
      <c r="AA32" s="15"/>
      <c r="AB32" s="5" t="str">
        <f t="shared" si="5"/>
        <v/>
      </c>
      <c r="AC32" s="20" t="s">
        <v>8</v>
      </c>
      <c r="AD32" s="6" t="str">
        <f t="shared" si="18"/>
        <v/>
      </c>
      <c r="AE32" s="20" t="s">
        <v>9</v>
      </c>
      <c r="AF32" s="6" t="str">
        <f t="shared" si="19"/>
        <v/>
      </c>
      <c r="AG32" s="20" t="s">
        <v>8</v>
      </c>
      <c r="AH32" s="6" t="str">
        <f t="shared" si="7"/>
        <v/>
      </c>
      <c r="AI32" s="7" t="str">
        <f t="shared" si="20"/>
        <v/>
      </c>
      <c r="AJ32" s="20" t="s">
        <v>10</v>
      </c>
      <c r="AK32" s="8" t="str">
        <f t="shared" si="9"/>
        <v/>
      </c>
      <c r="AL32" s="9" t="s">
        <v>11</v>
      </c>
      <c r="AM32" s="7" t="str">
        <f t="shared" si="10"/>
        <v/>
      </c>
      <c r="AN32" s="20" t="s">
        <v>10</v>
      </c>
      <c r="AO32" s="8" t="str">
        <f t="shared" si="11"/>
        <v/>
      </c>
      <c r="AP32" s="10" t="s">
        <v>11</v>
      </c>
      <c r="AQ32" s="15" t="str" cm="1">
        <f t="array" ref="AQ32">IF(tbl利用3[[#This Row],[利用日]]="","",ROW()-ROW(tbl利用3[#Headers]))</f>
        <v/>
      </c>
      <c r="AR32" s="32" t="str">
        <f t="shared" ref="AR32:AR34" si="22">IF(B32="","",B32)</f>
        <v/>
      </c>
      <c r="AS32" s="15"/>
      <c r="AT32" s="43" t="str">
        <f t="shared" ref="AT32:AT34" si="23">IF(F32="","",F32)</f>
        <v/>
      </c>
      <c r="AU32" s="1" t="str">
        <f t="shared" ref="AU32:AU34" si="24">IF(F32="利用区分１",AI32,AM32)</f>
        <v/>
      </c>
      <c r="AV32" s="1" t="str">
        <f t="shared" ref="AV32:AV34" si="25">IF(F32="利用区分１",AK32,AO32)</f>
        <v/>
      </c>
      <c r="AW32" s="1" t="str">
        <f>IF(tbl利用3[[#This Row],[利用日]]="","",N(tbl利用3[[#This Row],[利用時間_時]])*60+N(tbl利用3[[#This Row],[利用時間_分]]))</f>
        <v/>
      </c>
      <c r="AX32" s="44" t="str">
        <f t="shared" si="16"/>
        <v/>
      </c>
      <c r="AY32" s="44" t="str">
        <f t="shared" si="1"/>
        <v/>
      </c>
      <c r="AZ32" s="45" t="str">
        <f>IF(tbl利用3[[#This Row],[利用日]]="","",MAX(0,N(tbl利用3[[#This Row],[割引前利用額]])-N(tbl利用3[[#This Row],[割引額]])))</f>
        <v/>
      </c>
      <c r="BA32" s="45" t="str">
        <f>IF(OR(tbl利用3[[#This Row],[利用日]]="",tbl利用3[[#This Row],[利用分数]]&lt;=0),"",N(tbl利用3[[#This Row],[割引前利用額]])/tbl利用3[[#This Row],[利用分数]]*60)</f>
        <v/>
      </c>
      <c r="BB32" s="45" t="str">
        <f>IF(tbl利用3[[#This Row],[利用区分]]="","",_xlfn.XLOOKUP(tbl利用3[[#This Row],[利用区分]],$AQ$4:$AQ$5,$AR$4:$AR$5,"区分未登録"))</f>
        <v/>
      </c>
      <c r="BC32" s="45" t="str">
        <f>IF(OR(tbl利用3[[#This Row],[通常時間単価]]="",NOT(ISNUMBER(tbl利用3[[#This Row],[上限単価]]))),"",MIN(tbl利用3[[#This Row],[通常時間単価]],tbl利用3[[#This Row],[上限単価]]))</f>
        <v/>
      </c>
      <c r="BD32" s="45" t="str">
        <f>IF(tbl利用3[[#This Row],[利用日]]="","",tbl利用3[[#This Row],[利用分数]]/60*tbl利用3[[#This Row],[基準単価]])</f>
        <v/>
      </c>
      <c r="BE32" s="69" t="str">
        <f>IF(OR(tbl利用3[[#This Row],[利用日]]="",tbl利用3[[#This Row],[利用区分]]=""),"",TEXT(tbl利用3[[#This Row],[利用日]],"yyyymmdd")&amp;"|"&amp;tbl利用3[[#This Row],[利用区分]])</f>
        <v/>
      </c>
      <c r="BF32" s="45" t="str">
        <f>IF(tbl利用3[[#This Row],[日別区分キー]]="","",SUMIFS(tbl利用3[明細実支出額],tbl利用3[日別区分キー],tbl利用3[[#This Row],[日別区分キー]]))</f>
        <v/>
      </c>
      <c r="BG32" s="45" t="str">
        <f>IF(tbl利用3[[#This Row],[日別区分キー]]="","",SUMIFS(tbl利用3[処理前明細基準額],tbl利用3[日別区分キー],tbl利用3[[#This Row],[日別区分キー]]))</f>
        <v/>
      </c>
      <c r="BH32" s="45" t="str">
        <f>IF(tbl利用3[[#This Row],[日別区分キー]]="","",ROUNDDOWN(MIN(tbl利用3[[#This Row],[日別区分実支出額]],tbl利用3[[#This Row],[日別区分処理前基準額]]),0))</f>
        <v/>
      </c>
      <c r="BI32" s="45" t="str">
        <f>IF(tbl利用3[[#This Row],[日別区分キー]]="","",MAX(0,tbl利用3[[#This Row],[日別区分処理前基準額]]-tbl利用3[[#This Row],[日別区分実支出額]]))</f>
        <v/>
      </c>
      <c r="BJ32" s="45">
        <f>IF(OR(tbl利用3[[#This Row],[利用日]]="",tbl利用3[[#This Row],[基準単価]]&lt;=0),0,MIN(tbl利用3[[#This Row],[利用分数]],ROUNDDOWN(tbl利用3[[#This Row],[日別区分余裕額]]/(tbl利用3[[#This Row],[基準単価]]/60),0)))</f>
        <v>0</v>
      </c>
      <c r="BK32" s="50"/>
      <c r="BL32" s="71" t="str">
        <f t="shared" si="2"/>
        <v/>
      </c>
      <c r="BM32" s="45" t="str">
        <f>IF(tbl利用3[[#This Row],[利用日]]="","",MAX(0,tbl利用3[[#This Row],[利用分数]]-N(tbl利用3[[#This Row],[切捨分数]])))</f>
        <v/>
      </c>
      <c r="BN32" s="45" t="str">
        <f>IF(tbl利用3[[#This Row],[利用日]]="","",tbl利用3[[#This Row],[処理後利用分数]]/60*tbl利用3[[#This Row],[基準単価]])</f>
        <v/>
      </c>
      <c r="BO32" s="45" t="str">
        <f>IF(tbl利用3[[#This Row],[日別区分キー]]="","",SUMIFS(tbl利用3[処理後明細基準額],tbl利用3[日別区分キー],tbl利用3[[#This Row],[日別区分キー]]))</f>
        <v/>
      </c>
      <c r="BP32" s="45" t="str">
        <f>IF(tbl利用3[[#This Row],[日別区分キー]]="","",ROUNDDOWN(MIN(tbl利用3[[#This Row],[日別区分実支出額]],tbl利用3[[#This Row],[日別区分処理後基準額]]),0))</f>
        <v/>
      </c>
      <c r="BQ32" s="45" t="str">
        <f>IF(tbl利用3[[#This Row],[日別区分キー]]="","",tbl利用3[[#This Row],[日別区分処理前補助額]]-tbl利用3[[#This Row],[日別区分補助額]])</f>
        <v/>
      </c>
      <c r="BR32" s="45" t="str">
        <f>IF(OR(tbl利用3[[#This Row],[日別区分キー]]="",tbl利用3[[#This Row],[処理後利用分数]]&lt;=0),"",ROUNDDOWN(MIN(tbl利用3[[#This Row],[日別区分実支出額]],tbl利用3[[#This Row],[日別区分処理後基準額]]-tbl利用3[[#This Row],[基準単価]]/60),0))</f>
        <v/>
      </c>
      <c r="BS32" s="52" t="str">
        <f>IF(tbl利用3[[#This Row],[次の1分切捨時補助額]]="","",tbl利用3[[#This Row],[日別区分補助額]]-tbl利用3[[#This Row],[次の1分切捨時補助額]])</f>
        <v/>
      </c>
      <c r="BT32" s="45" t="str">
        <f>IF(tbl利用3[[#This Row],[日別区分キー]]="","",--(COUNTIF(INDEX(tbl利用3[日別区分キー],1):tbl利用3[[#This Row],[日別区分キー]],tbl利用3[[#This Row],[日別区分キー]])=1))</f>
        <v/>
      </c>
      <c r="BU32" s="45" t="str">
        <f>IF(tbl利用3[[#This Row],[利用区分]]="","",SUMIFS(tbl利用3[利用分数],tbl利用3[利用区分],tbl利用3[[#This Row],[利用区分]]))</f>
        <v/>
      </c>
      <c r="BV32" s="45" t="str">
        <f>IF(tbl利用3[[#This Row],[利用区分]]="","",MOD(tbl利用3[[#This Row],[区分総利用分数]],60))</f>
        <v/>
      </c>
      <c r="BW32" s="45" t="str">
        <f>IF(tbl利用3[[#This Row],[利用区分]]="","",SUMIFS(tbl利用3[切捨分数],tbl利用3[利用区分],tbl利用3[[#This Row],[利用区分]]))</f>
        <v/>
      </c>
      <c r="BX32" s="45" t="str">
        <f>IF(tbl利用3[[#This Row],[利用区分]]="","",IF(tbl利用3[[#This Row],[区分必要切捨分数]]=tbl利用3[[#This Row],[区分入力切捨合計]],"OK","要確認"))</f>
        <v/>
      </c>
      <c r="BY32"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32" s="46"/>
    </row>
    <row r="33" spans="1:78" s="1" customFormat="1" ht="28.5" customHeight="1" x14ac:dyDescent="0.4">
      <c r="A33" s="19">
        <v>26</v>
      </c>
      <c r="B33" s="75"/>
      <c r="C33" s="76"/>
      <c r="D33" s="76"/>
      <c r="E33" s="76"/>
      <c r="F33" s="34"/>
      <c r="G33" s="13"/>
      <c r="H33" s="22" t="s">
        <v>8</v>
      </c>
      <c r="I33" s="14"/>
      <c r="J33" s="22" t="s">
        <v>9</v>
      </c>
      <c r="K33" s="14"/>
      <c r="L33" s="22" t="s">
        <v>8</v>
      </c>
      <c r="M33" s="14"/>
      <c r="N33" s="2" t="str">
        <f t="shared" si="3"/>
        <v/>
      </c>
      <c r="O33" s="22" t="s">
        <v>10</v>
      </c>
      <c r="P33" s="22" t="str">
        <f t="shared" si="17"/>
        <v/>
      </c>
      <c r="Q33" s="3" t="s">
        <v>11</v>
      </c>
      <c r="R33" s="79"/>
      <c r="S33" s="80"/>
      <c r="T33" s="4" t="s">
        <v>12</v>
      </c>
      <c r="U33" s="79"/>
      <c r="V33" s="80"/>
      <c r="W33" s="4" t="s">
        <v>12</v>
      </c>
      <c r="X33" s="80"/>
      <c r="Y33" s="81"/>
      <c r="Z33" s="4" t="s">
        <v>12</v>
      </c>
      <c r="AA33" s="15"/>
      <c r="AB33" s="5" t="str">
        <f t="shared" si="5"/>
        <v/>
      </c>
      <c r="AC33" s="20" t="s">
        <v>8</v>
      </c>
      <c r="AD33" s="6" t="str">
        <f t="shared" si="18"/>
        <v/>
      </c>
      <c r="AE33" s="20" t="s">
        <v>9</v>
      </c>
      <c r="AF33" s="6" t="str">
        <f t="shared" si="19"/>
        <v/>
      </c>
      <c r="AG33" s="20" t="s">
        <v>8</v>
      </c>
      <c r="AH33" s="6" t="str">
        <f t="shared" si="7"/>
        <v/>
      </c>
      <c r="AI33" s="7" t="str">
        <f t="shared" si="20"/>
        <v/>
      </c>
      <c r="AJ33" s="20" t="s">
        <v>10</v>
      </c>
      <c r="AK33" s="8" t="str">
        <f t="shared" si="9"/>
        <v/>
      </c>
      <c r="AL33" s="9" t="s">
        <v>11</v>
      </c>
      <c r="AM33" s="7" t="str">
        <f t="shared" si="10"/>
        <v/>
      </c>
      <c r="AN33" s="20" t="s">
        <v>10</v>
      </c>
      <c r="AO33" s="8" t="str">
        <f t="shared" si="11"/>
        <v/>
      </c>
      <c r="AP33" s="10" t="s">
        <v>11</v>
      </c>
      <c r="AQ33" s="15" t="str" cm="1">
        <f t="array" ref="AQ33">IF(tbl利用3[[#This Row],[利用日]]="","",ROW()-ROW(tbl利用3[#Headers]))</f>
        <v/>
      </c>
      <c r="AR33" s="32" t="str">
        <f t="shared" si="22"/>
        <v/>
      </c>
      <c r="AS33" s="15"/>
      <c r="AT33" s="43" t="str">
        <f t="shared" si="23"/>
        <v/>
      </c>
      <c r="AU33" s="1" t="str">
        <f t="shared" si="24"/>
        <v/>
      </c>
      <c r="AV33" s="1" t="str">
        <f t="shared" si="25"/>
        <v/>
      </c>
      <c r="AW33" s="1" t="str">
        <f>IF(tbl利用3[[#This Row],[利用日]]="","",N(tbl利用3[[#This Row],[利用時間_時]])*60+N(tbl利用3[[#This Row],[利用時間_分]]))</f>
        <v/>
      </c>
      <c r="AX33" s="44" t="str">
        <f t="shared" si="16"/>
        <v/>
      </c>
      <c r="AY33" s="44" t="str">
        <f t="shared" si="1"/>
        <v/>
      </c>
      <c r="AZ33" s="45" t="str">
        <f>IF(tbl利用3[[#This Row],[利用日]]="","",MAX(0,N(tbl利用3[[#This Row],[割引前利用額]])-N(tbl利用3[[#This Row],[割引額]])))</f>
        <v/>
      </c>
      <c r="BA33" s="45" t="str">
        <f>IF(OR(tbl利用3[[#This Row],[利用日]]="",tbl利用3[[#This Row],[利用分数]]&lt;=0),"",N(tbl利用3[[#This Row],[割引前利用額]])/tbl利用3[[#This Row],[利用分数]]*60)</f>
        <v/>
      </c>
      <c r="BB33" s="45" t="str">
        <f>IF(tbl利用3[[#This Row],[利用区分]]="","",_xlfn.XLOOKUP(tbl利用3[[#This Row],[利用区分]],$AQ$4:$AQ$5,$AR$4:$AR$5,"区分未登録"))</f>
        <v/>
      </c>
      <c r="BC33" s="45" t="str">
        <f>IF(OR(tbl利用3[[#This Row],[通常時間単価]]="",NOT(ISNUMBER(tbl利用3[[#This Row],[上限単価]]))),"",MIN(tbl利用3[[#This Row],[通常時間単価]],tbl利用3[[#This Row],[上限単価]]))</f>
        <v/>
      </c>
      <c r="BD33" s="45" t="str">
        <f>IF(tbl利用3[[#This Row],[利用日]]="","",tbl利用3[[#This Row],[利用分数]]/60*tbl利用3[[#This Row],[基準単価]])</f>
        <v/>
      </c>
      <c r="BE33" s="69" t="str">
        <f>IF(OR(tbl利用3[[#This Row],[利用日]]="",tbl利用3[[#This Row],[利用区分]]=""),"",TEXT(tbl利用3[[#This Row],[利用日]],"yyyymmdd")&amp;"|"&amp;tbl利用3[[#This Row],[利用区分]])</f>
        <v/>
      </c>
      <c r="BF33" s="45" t="str">
        <f>IF(tbl利用3[[#This Row],[日別区分キー]]="","",SUMIFS(tbl利用3[明細実支出額],tbl利用3[日別区分キー],tbl利用3[[#This Row],[日別区分キー]]))</f>
        <v/>
      </c>
      <c r="BG33" s="45" t="str">
        <f>IF(tbl利用3[[#This Row],[日別区分キー]]="","",SUMIFS(tbl利用3[処理前明細基準額],tbl利用3[日別区分キー],tbl利用3[[#This Row],[日別区分キー]]))</f>
        <v/>
      </c>
      <c r="BH33" s="45" t="str">
        <f>IF(tbl利用3[[#This Row],[日別区分キー]]="","",ROUNDDOWN(MIN(tbl利用3[[#This Row],[日別区分実支出額]],tbl利用3[[#This Row],[日別区分処理前基準額]]),0))</f>
        <v/>
      </c>
      <c r="BI33" s="45" t="str">
        <f>IF(tbl利用3[[#This Row],[日別区分キー]]="","",MAX(0,tbl利用3[[#This Row],[日別区分処理前基準額]]-tbl利用3[[#This Row],[日別区分実支出額]]))</f>
        <v/>
      </c>
      <c r="BJ33" s="45">
        <f>IF(OR(tbl利用3[[#This Row],[利用日]]="",tbl利用3[[#This Row],[基準単価]]&lt;=0),0,MIN(tbl利用3[[#This Row],[利用分数]],ROUNDDOWN(tbl利用3[[#This Row],[日別区分余裕額]]/(tbl利用3[[#This Row],[基準単価]]/60),0)))</f>
        <v>0</v>
      </c>
      <c r="BK33" s="50"/>
      <c r="BL33" s="71" t="str">
        <f t="shared" si="2"/>
        <v/>
      </c>
      <c r="BM33" s="45" t="str">
        <f>IF(tbl利用3[[#This Row],[利用日]]="","",MAX(0,tbl利用3[[#This Row],[利用分数]]-N(tbl利用3[[#This Row],[切捨分数]])))</f>
        <v/>
      </c>
      <c r="BN33" s="45" t="str">
        <f>IF(tbl利用3[[#This Row],[利用日]]="","",tbl利用3[[#This Row],[処理後利用分数]]/60*tbl利用3[[#This Row],[基準単価]])</f>
        <v/>
      </c>
      <c r="BO33" s="45" t="str">
        <f>IF(tbl利用3[[#This Row],[日別区分キー]]="","",SUMIFS(tbl利用3[処理後明細基準額],tbl利用3[日別区分キー],tbl利用3[[#This Row],[日別区分キー]]))</f>
        <v/>
      </c>
      <c r="BP33" s="45" t="str">
        <f>IF(tbl利用3[[#This Row],[日別区分キー]]="","",ROUNDDOWN(MIN(tbl利用3[[#This Row],[日別区分実支出額]],tbl利用3[[#This Row],[日別区分処理後基準額]]),0))</f>
        <v/>
      </c>
      <c r="BQ33" s="45" t="str">
        <f>IF(tbl利用3[[#This Row],[日別区分キー]]="","",tbl利用3[[#This Row],[日別区分処理前補助額]]-tbl利用3[[#This Row],[日別区分補助額]])</f>
        <v/>
      </c>
      <c r="BR33" s="45" t="str">
        <f>IF(OR(tbl利用3[[#This Row],[日別区分キー]]="",tbl利用3[[#This Row],[処理後利用分数]]&lt;=0),"",ROUNDDOWN(MIN(tbl利用3[[#This Row],[日別区分実支出額]],tbl利用3[[#This Row],[日別区分処理後基準額]]-tbl利用3[[#This Row],[基準単価]]/60),0))</f>
        <v/>
      </c>
      <c r="BS33" s="52" t="str">
        <f>IF(tbl利用3[[#This Row],[次の1分切捨時補助額]]="","",tbl利用3[[#This Row],[日別区分補助額]]-tbl利用3[[#This Row],[次の1分切捨時補助額]])</f>
        <v/>
      </c>
      <c r="BT33" s="45" t="str">
        <f>IF(tbl利用3[[#This Row],[日別区分キー]]="","",--(COUNTIF(INDEX(tbl利用3[日別区分キー],1):tbl利用3[[#This Row],[日別区分キー]],tbl利用3[[#This Row],[日別区分キー]])=1))</f>
        <v/>
      </c>
      <c r="BU33" s="45" t="str">
        <f>IF(tbl利用3[[#This Row],[利用区分]]="","",SUMIFS(tbl利用3[利用分数],tbl利用3[利用区分],tbl利用3[[#This Row],[利用区分]]))</f>
        <v/>
      </c>
      <c r="BV33" s="45" t="str">
        <f>IF(tbl利用3[[#This Row],[利用区分]]="","",MOD(tbl利用3[[#This Row],[区分総利用分数]],60))</f>
        <v/>
      </c>
      <c r="BW33" s="45" t="str">
        <f>IF(tbl利用3[[#This Row],[利用区分]]="","",SUMIFS(tbl利用3[切捨分数],tbl利用3[利用区分],tbl利用3[[#This Row],[利用区分]]))</f>
        <v/>
      </c>
      <c r="BX33" s="45" t="str">
        <f>IF(tbl利用3[[#This Row],[利用区分]]="","",IF(tbl利用3[[#This Row],[区分必要切捨分数]]=tbl利用3[[#This Row],[区分入力切捨合計]],"OK","要確認"))</f>
        <v/>
      </c>
      <c r="BY33"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33" s="46"/>
    </row>
    <row r="34" spans="1:78" s="1" customFormat="1" ht="28.5" customHeight="1" x14ac:dyDescent="0.4">
      <c r="A34" s="19">
        <v>27</v>
      </c>
      <c r="B34" s="75"/>
      <c r="C34" s="76"/>
      <c r="D34" s="76"/>
      <c r="E34" s="76"/>
      <c r="F34" s="34"/>
      <c r="G34" s="13"/>
      <c r="H34" s="22" t="s">
        <v>8</v>
      </c>
      <c r="I34" s="14"/>
      <c r="J34" s="22" t="s">
        <v>9</v>
      </c>
      <c r="K34" s="14"/>
      <c r="L34" s="22" t="s">
        <v>8</v>
      </c>
      <c r="M34" s="14"/>
      <c r="N34" s="2" t="str">
        <f t="shared" si="3"/>
        <v/>
      </c>
      <c r="O34" s="22" t="s">
        <v>10</v>
      </c>
      <c r="P34" s="22" t="str">
        <f t="shared" si="17"/>
        <v/>
      </c>
      <c r="Q34" s="3" t="s">
        <v>11</v>
      </c>
      <c r="R34" s="79"/>
      <c r="S34" s="80"/>
      <c r="T34" s="4" t="s">
        <v>12</v>
      </c>
      <c r="U34" s="79"/>
      <c r="V34" s="80"/>
      <c r="W34" s="4" t="s">
        <v>12</v>
      </c>
      <c r="X34" s="80"/>
      <c r="Y34" s="81"/>
      <c r="Z34" s="4" t="s">
        <v>12</v>
      </c>
      <c r="AA34" s="15"/>
      <c r="AB34" s="5" t="str">
        <f t="shared" si="5"/>
        <v/>
      </c>
      <c r="AC34" s="20" t="s">
        <v>8</v>
      </c>
      <c r="AD34" s="6" t="str">
        <f t="shared" si="18"/>
        <v/>
      </c>
      <c r="AE34" s="20" t="s">
        <v>9</v>
      </c>
      <c r="AF34" s="6" t="str">
        <f t="shared" si="19"/>
        <v/>
      </c>
      <c r="AG34" s="20" t="s">
        <v>8</v>
      </c>
      <c r="AH34" s="6" t="str">
        <f t="shared" si="7"/>
        <v/>
      </c>
      <c r="AI34" s="7" t="str">
        <f t="shared" si="20"/>
        <v/>
      </c>
      <c r="AJ34" s="20" t="s">
        <v>10</v>
      </c>
      <c r="AK34" s="8" t="str">
        <f t="shared" si="9"/>
        <v/>
      </c>
      <c r="AL34" s="9" t="s">
        <v>11</v>
      </c>
      <c r="AM34" s="7" t="str">
        <f t="shared" si="10"/>
        <v/>
      </c>
      <c r="AN34" s="20" t="s">
        <v>10</v>
      </c>
      <c r="AO34" s="8" t="str">
        <f t="shared" si="11"/>
        <v/>
      </c>
      <c r="AP34" s="10" t="s">
        <v>11</v>
      </c>
      <c r="AQ34" s="15" t="str" cm="1">
        <f t="array" ref="AQ34">IF(tbl利用3[[#This Row],[利用日]]="","",ROW()-ROW(tbl利用3[#Headers]))</f>
        <v/>
      </c>
      <c r="AR34" s="32" t="str">
        <f t="shared" si="22"/>
        <v/>
      </c>
      <c r="AS34" s="15"/>
      <c r="AT34" s="43" t="str">
        <f t="shared" si="23"/>
        <v/>
      </c>
      <c r="AU34" s="1" t="str">
        <f t="shared" si="24"/>
        <v/>
      </c>
      <c r="AV34" s="1" t="str">
        <f t="shared" si="25"/>
        <v/>
      </c>
      <c r="AW34" s="1" t="str">
        <f>IF(tbl利用3[[#This Row],[利用日]]="","",N(tbl利用3[[#This Row],[利用時間_時]])*60+N(tbl利用3[[#This Row],[利用時間_分]]))</f>
        <v/>
      </c>
      <c r="AX34" s="44" t="str">
        <f t="shared" si="16"/>
        <v/>
      </c>
      <c r="AY34" s="44" t="str">
        <f t="shared" si="1"/>
        <v/>
      </c>
      <c r="AZ34" s="45" t="str">
        <f>IF(tbl利用3[[#This Row],[利用日]]="","",MAX(0,N(tbl利用3[[#This Row],[割引前利用額]])-N(tbl利用3[[#This Row],[割引額]])))</f>
        <v/>
      </c>
      <c r="BA34" s="45" t="str">
        <f>IF(OR(tbl利用3[[#This Row],[利用日]]="",tbl利用3[[#This Row],[利用分数]]&lt;=0),"",N(tbl利用3[[#This Row],[割引前利用額]])/tbl利用3[[#This Row],[利用分数]]*60)</f>
        <v/>
      </c>
      <c r="BB34" s="45" t="str">
        <f>IF(tbl利用3[[#This Row],[利用区分]]="","",_xlfn.XLOOKUP(tbl利用3[[#This Row],[利用区分]],$AQ$4:$AQ$5,$AR$4:$AR$5,"区分未登録"))</f>
        <v/>
      </c>
      <c r="BC34" s="45" t="str">
        <f>IF(OR(tbl利用3[[#This Row],[通常時間単価]]="",NOT(ISNUMBER(tbl利用3[[#This Row],[上限単価]]))),"",MIN(tbl利用3[[#This Row],[通常時間単価]],tbl利用3[[#This Row],[上限単価]]))</f>
        <v/>
      </c>
      <c r="BD34" s="45" t="str">
        <f>IF(tbl利用3[[#This Row],[利用日]]="","",tbl利用3[[#This Row],[利用分数]]/60*tbl利用3[[#This Row],[基準単価]])</f>
        <v/>
      </c>
      <c r="BE34" s="69" t="str">
        <f>IF(OR(tbl利用3[[#This Row],[利用日]]="",tbl利用3[[#This Row],[利用区分]]=""),"",TEXT(tbl利用3[[#This Row],[利用日]],"yyyymmdd")&amp;"|"&amp;tbl利用3[[#This Row],[利用区分]])</f>
        <v/>
      </c>
      <c r="BF34" s="45" t="str">
        <f>IF(tbl利用3[[#This Row],[日別区分キー]]="","",SUMIFS(tbl利用3[明細実支出額],tbl利用3[日別区分キー],tbl利用3[[#This Row],[日別区分キー]]))</f>
        <v/>
      </c>
      <c r="BG34" s="45" t="str">
        <f>IF(tbl利用3[[#This Row],[日別区分キー]]="","",SUMIFS(tbl利用3[処理前明細基準額],tbl利用3[日別区分キー],tbl利用3[[#This Row],[日別区分キー]]))</f>
        <v/>
      </c>
      <c r="BH34" s="45" t="str">
        <f>IF(tbl利用3[[#This Row],[日別区分キー]]="","",ROUNDDOWN(MIN(tbl利用3[[#This Row],[日別区分実支出額]],tbl利用3[[#This Row],[日別区分処理前基準額]]),0))</f>
        <v/>
      </c>
      <c r="BI34" s="45" t="str">
        <f>IF(tbl利用3[[#This Row],[日別区分キー]]="","",MAX(0,tbl利用3[[#This Row],[日別区分処理前基準額]]-tbl利用3[[#This Row],[日別区分実支出額]]))</f>
        <v/>
      </c>
      <c r="BJ34" s="45">
        <f>IF(OR(tbl利用3[[#This Row],[利用日]]="",tbl利用3[[#This Row],[基準単価]]&lt;=0),0,MIN(tbl利用3[[#This Row],[利用分数]],ROUNDDOWN(tbl利用3[[#This Row],[日別区分余裕額]]/(tbl利用3[[#This Row],[基準単価]]/60),0)))</f>
        <v>0</v>
      </c>
      <c r="BK34" s="50"/>
      <c r="BL34" s="71" t="str">
        <f t="shared" si="2"/>
        <v/>
      </c>
      <c r="BM34" s="45" t="str">
        <f>IF(tbl利用3[[#This Row],[利用日]]="","",MAX(0,tbl利用3[[#This Row],[利用分数]]-N(tbl利用3[[#This Row],[切捨分数]])))</f>
        <v/>
      </c>
      <c r="BN34" s="45" t="str">
        <f>IF(tbl利用3[[#This Row],[利用日]]="","",tbl利用3[[#This Row],[処理後利用分数]]/60*tbl利用3[[#This Row],[基準単価]])</f>
        <v/>
      </c>
      <c r="BO34" s="45" t="str">
        <f>IF(tbl利用3[[#This Row],[日別区分キー]]="","",SUMIFS(tbl利用3[処理後明細基準額],tbl利用3[日別区分キー],tbl利用3[[#This Row],[日別区分キー]]))</f>
        <v/>
      </c>
      <c r="BP34" s="45" t="str">
        <f>IF(tbl利用3[[#This Row],[日別区分キー]]="","",ROUNDDOWN(MIN(tbl利用3[[#This Row],[日別区分実支出額]],tbl利用3[[#This Row],[日別区分処理後基準額]]),0))</f>
        <v/>
      </c>
      <c r="BQ34" s="45" t="str">
        <f>IF(tbl利用3[[#This Row],[日別区分キー]]="","",tbl利用3[[#This Row],[日別区分処理前補助額]]-tbl利用3[[#This Row],[日別区分補助額]])</f>
        <v/>
      </c>
      <c r="BR34" s="45" t="str">
        <f>IF(OR(tbl利用3[[#This Row],[日別区分キー]]="",tbl利用3[[#This Row],[処理後利用分数]]&lt;=0),"",ROUNDDOWN(MIN(tbl利用3[[#This Row],[日別区分実支出額]],tbl利用3[[#This Row],[日別区分処理後基準額]]-tbl利用3[[#This Row],[基準単価]]/60),0))</f>
        <v/>
      </c>
      <c r="BS34" s="52" t="str">
        <f>IF(tbl利用3[[#This Row],[次の1分切捨時補助額]]="","",tbl利用3[[#This Row],[日別区分補助額]]-tbl利用3[[#This Row],[次の1分切捨時補助額]])</f>
        <v/>
      </c>
      <c r="BT34" s="45" t="str">
        <f>IF(tbl利用3[[#This Row],[日別区分キー]]="","",--(COUNTIF(INDEX(tbl利用3[日別区分キー],1):tbl利用3[[#This Row],[日別区分キー]],tbl利用3[[#This Row],[日別区分キー]])=1))</f>
        <v/>
      </c>
      <c r="BU34" s="45" t="str">
        <f>IF(tbl利用3[[#This Row],[利用区分]]="","",SUMIFS(tbl利用3[利用分数],tbl利用3[利用区分],tbl利用3[[#This Row],[利用区分]]))</f>
        <v/>
      </c>
      <c r="BV34" s="45" t="str">
        <f>IF(tbl利用3[[#This Row],[利用区分]]="","",MOD(tbl利用3[[#This Row],[区分総利用分数]],60))</f>
        <v/>
      </c>
      <c r="BW34" s="45" t="str">
        <f>IF(tbl利用3[[#This Row],[利用区分]]="","",SUMIFS(tbl利用3[切捨分数],tbl利用3[利用区分],tbl利用3[[#This Row],[利用区分]]))</f>
        <v/>
      </c>
      <c r="BX34" s="45" t="str">
        <f>IF(tbl利用3[[#This Row],[利用区分]]="","",IF(tbl利用3[[#This Row],[区分必要切捨分数]]=tbl利用3[[#This Row],[区分入力切捨合計]],"OK","要確認"))</f>
        <v/>
      </c>
      <c r="BY34"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34" s="46"/>
    </row>
    <row r="35" spans="1:78" s="1" customFormat="1" ht="28.5" customHeight="1" x14ac:dyDescent="0.4">
      <c r="A35" s="19">
        <v>28</v>
      </c>
      <c r="B35" s="75"/>
      <c r="C35" s="76"/>
      <c r="D35" s="76"/>
      <c r="E35" s="76"/>
      <c r="F35" s="34"/>
      <c r="G35" s="13"/>
      <c r="H35" s="22" t="s">
        <v>8</v>
      </c>
      <c r="I35" s="14"/>
      <c r="J35" s="22" t="s">
        <v>9</v>
      </c>
      <c r="K35" s="14"/>
      <c r="L35" s="22" t="s">
        <v>8</v>
      </c>
      <c r="M35" s="14"/>
      <c r="N35" s="2" t="str">
        <f t="shared" si="3"/>
        <v/>
      </c>
      <c r="O35" s="22" t="s">
        <v>10</v>
      </c>
      <c r="P35" s="22" t="str">
        <f t="shared" si="17"/>
        <v/>
      </c>
      <c r="Q35" s="3" t="s">
        <v>11</v>
      </c>
      <c r="R35" s="79"/>
      <c r="S35" s="80"/>
      <c r="T35" s="4" t="s">
        <v>12</v>
      </c>
      <c r="U35" s="79"/>
      <c r="V35" s="80"/>
      <c r="W35" s="4" t="s">
        <v>12</v>
      </c>
      <c r="X35" s="80"/>
      <c r="Y35" s="81"/>
      <c r="Z35" s="4" t="s">
        <v>12</v>
      </c>
      <c r="AA35" s="15"/>
      <c r="AB35" s="5" t="str">
        <f t="shared" si="5"/>
        <v/>
      </c>
      <c r="AC35" s="20" t="s">
        <v>8</v>
      </c>
      <c r="AD35" s="6" t="str">
        <f t="shared" si="18"/>
        <v/>
      </c>
      <c r="AE35" s="20" t="s">
        <v>9</v>
      </c>
      <c r="AF35" s="6" t="str">
        <f t="shared" si="19"/>
        <v/>
      </c>
      <c r="AG35" s="20" t="s">
        <v>8</v>
      </c>
      <c r="AH35" s="6" t="str">
        <f t="shared" si="7"/>
        <v/>
      </c>
      <c r="AI35" s="7" t="str">
        <f t="shared" si="20"/>
        <v/>
      </c>
      <c r="AJ35" s="20" t="s">
        <v>10</v>
      </c>
      <c r="AK35" s="8" t="str">
        <f t="shared" si="9"/>
        <v/>
      </c>
      <c r="AL35" s="9" t="s">
        <v>11</v>
      </c>
      <c r="AM35" s="7" t="str">
        <f t="shared" si="10"/>
        <v/>
      </c>
      <c r="AN35" s="20" t="s">
        <v>10</v>
      </c>
      <c r="AO35" s="8" t="str">
        <f t="shared" si="11"/>
        <v/>
      </c>
      <c r="AP35" s="10" t="s">
        <v>11</v>
      </c>
      <c r="AQ35" s="15" t="str" cm="1">
        <f t="array" ref="AQ35">IF(tbl利用3[[#This Row],[利用日]]="","",ROW()-ROW(tbl利用3[#Headers]))</f>
        <v/>
      </c>
      <c r="AR35" s="32" t="str">
        <f>IF(B35="","",B35)</f>
        <v/>
      </c>
      <c r="AS35" s="15"/>
      <c r="AT35" s="43" t="str">
        <f>IF(F35="","",F35)</f>
        <v/>
      </c>
      <c r="AU35" s="1" t="str">
        <f>IF(F35="利用区分１",AI35,AM35)</f>
        <v/>
      </c>
      <c r="AV35" s="1" t="str">
        <f>IF(F35="利用区分１",AK35,AO35)</f>
        <v/>
      </c>
      <c r="AW35" s="1" t="str">
        <f>IF(tbl利用3[[#This Row],[利用日]]="","",N(tbl利用3[[#This Row],[利用時間_時]])*60+N(tbl利用3[[#This Row],[利用時間_分]]))</f>
        <v/>
      </c>
      <c r="AX35" s="44" t="str">
        <f t="shared" si="16"/>
        <v/>
      </c>
      <c r="AY35" s="44" t="str">
        <f t="shared" si="1"/>
        <v/>
      </c>
      <c r="AZ35" s="45" t="str">
        <f>IF(tbl利用3[[#This Row],[利用日]]="","",MAX(0,N(tbl利用3[[#This Row],[割引前利用額]])-N(tbl利用3[[#This Row],[割引額]])))</f>
        <v/>
      </c>
      <c r="BA35" s="45" t="str">
        <f>IF(OR(tbl利用3[[#This Row],[利用日]]="",tbl利用3[[#This Row],[利用分数]]&lt;=0),"",N(tbl利用3[[#This Row],[割引前利用額]])/tbl利用3[[#This Row],[利用分数]]*60)</f>
        <v/>
      </c>
      <c r="BB35" s="45" t="str">
        <f>IF(tbl利用3[[#This Row],[利用区分]]="","",_xlfn.XLOOKUP(tbl利用3[[#This Row],[利用区分]],$AQ$4:$AQ$5,$AR$4:$AR$5,"区分未登録"))</f>
        <v/>
      </c>
      <c r="BC35" s="45" t="str">
        <f>IF(OR(tbl利用3[[#This Row],[通常時間単価]]="",NOT(ISNUMBER(tbl利用3[[#This Row],[上限単価]]))),"",MIN(tbl利用3[[#This Row],[通常時間単価]],tbl利用3[[#This Row],[上限単価]]))</f>
        <v/>
      </c>
      <c r="BD35" s="45" t="str">
        <f>IF(tbl利用3[[#This Row],[利用日]]="","",tbl利用3[[#This Row],[利用分数]]/60*tbl利用3[[#This Row],[基準単価]])</f>
        <v/>
      </c>
      <c r="BE35" s="69" t="str">
        <f>IF(OR(tbl利用3[[#This Row],[利用日]]="",tbl利用3[[#This Row],[利用区分]]=""),"",TEXT(tbl利用3[[#This Row],[利用日]],"yyyymmdd")&amp;"|"&amp;tbl利用3[[#This Row],[利用区分]])</f>
        <v/>
      </c>
      <c r="BF35" s="45" t="str">
        <f>IF(tbl利用3[[#This Row],[日別区分キー]]="","",SUMIFS(tbl利用3[明細実支出額],tbl利用3[日別区分キー],tbl利用3[[#This Row],[日別区分キー]]))</f>
        <v/>
      </c>
      <c r="BG35" s="45" t="str">
        <f>IF(tbl利用3[[#This Row],[日別区分キー]]="","",SUMIFS(tbl利用3[処理前明細基準額],tbl利用3[日別区分キー],tbl利用3[[#This Row],[日別区分キー]]))</f>
        <v/>
      </c>
      <c r="BH35" s="45" t="str">
        <f>IF(tbl利用3[[#This Row],[日別区分キー]]="","",ROUNDDOWN(MIN(tbl利用3[[#This Row],[日別区分実支出額]],tbl利用3[[#This Row],[日別区分処理前基準額]]),0))</f>
        <v/>
      </c>
      <c r="BI35" s="45" t="str">
        <f>IF(tbl利用3[[#This Row],[日別区分キー]]="","",MAX(0,tbl利用3[[#This Row],[日別区分処理前基準額]]-tbl利用3[[#This Row],[日別区分実支出額]]))</f>
        <v/>
      </c>
      <c r="BJ35" s="45">
        <f>IF(OR(tbl利用3[[#This Row],[利用日]]="",tbl利用3[[#This Row],[基準単価]]&lt;=0),0,MIN(tbl利用3[[#This Row],[利用分数]],ROUNDDOWN(tbl利用3[[#This Row],[日別区分余裕額]]/(tbl利用3[[#This Row],[基準単価]]/60),0)))</f>
        <v>0</v>
      </c>
      <c r="BK35" s="50"/>
      <c r="BL35" s="71" t="str">
        <f t="shared" si="2"/>
        <v/>
      </c>
      <c r="BM35" s="45" t="str">
        <f>IF(tbl利用3[[#This Row],[利用日]]="","",MAX(0,tbl利用3[[#This Row],[利用分数]]-N(tbl利用3[[#This Row],[切捨分数]])))</f>
        <v/>
      </c>
      <c r="BN35" s="45" t="str">
        <f>IF(tbl利用3[[#This Row],[利用日]]="","",tbl利用3[[#This Row],[処理後利用分数]]/60*tbl利用3[[#This Row],[基準単価]])</f>
        <v/>
      </c>
      <c r="BO35" s="45" t="str">
        <f>IF(tbl利用3[[#This Row],[日別区分キー]]="","",SUMIFS(tbl利用3[処理後明細基準額],tbl利用3[日別区分キー],tbl利用3[[#This Row],[日別区分キー]]))</f>
        <v/>
      </c>
      <c r="BP35" s="45" t="str">
        <f>IF(tbl利用3[[#This Row],[日別区分キー]]="","",ROUNDDOWN(MIN(tbl利用3[[#This Row],[日別区分実支出額]],tbl利用3[[#This Row],[日別区分処理後基準額]]),0))</f>
        <v/>
      </c>
      <c r="BQ35" s="45" t="str">
        <f>IF(tbl利用3[[#This Row],[日別区分キー]]="","",tbl利用3[[#This Row],[日別区分処理前補助額]]-tbl利用3[[#This Row],[日別区分補助額]])</f>
        <v/>
      </c>
      <c r="BR35" s="45" t="str">
        <f>IF(OR(tbl利用3[[#This Row],[日別区分キー]]="",tbl利用3[[#This Row],[処理後利用分数]]&lt;=0),"",ROUNDDOWN(MIN(tbl利用3[[#This Row],[日別区分実支出額]],tbl利用3[[#This Row],[日別区分処理後基準額]]-tbl利用3[[#This Row],[基準単価]]/60),0))</f>
        <v/>
      </c>
      <c r="BS35" s="52" t="str">
        <f>IF(tbl利用3[[#This Row],[次の1分切捨時補助額]]="","",tbl利用3[[#This Row],[日別区分補助額]]-tbl利用3[[#This Row],[次の1分切捨時補助額]])</f>
        <v/>
      </c>
      <c r="BT35" s="45" t="str">
        <f>IF(tbl利用3[[#This Row],[日別区分キー]]="","",--(COUNTIF(INDEX(tbl利用3[日別区分キー],1):tbl利用3[[#This Row],[日別区分キー]],tbl利用3[[#This Row],[日別区分キー]])=1))</f>
        <v/>
      </c>
      <c r="BU35" s="45" t="str">
        <f>IF(tbl利用3[[#This Row],[利用区分]]="","",SUMIFS(tbl利用3[利用分数],tbl利用3[利用区分],tbl利用3[[#This Row],[利用区分]]))</f>
        <v/>
      </c>
      <c r="BV35" s="45" t="str">
        <f>IF(tbl利用3[[#This Row],[利用区分]]="","",MOD(tbl利用3[[#This Row],[区分総利用分数]],60))</f>
        <v/>
      </c>
      <c r="BW35" s="45" t="str">
        <f>IF(tbl利用3[[#This Row],[利用区分]]="","",SUMIFS(tbl利用3[切捨分数],tbl利用3[利用区分],tbl利用3[[#This Row],[利用区分]]))</f>
        <v/>
      </c>
      <c r="BX35" s="45" t="str">
        <f>IF(tbl利用3[[#This Row],[利用区分]]="","",IF(tbl利用3[[#This Row],[区分必要切捨分数]]=tbl利用3[[#This Row],[区分入力切捨合計]],"OK","要確認"))</f>
        <v/>
      </c>
      <c r="BY35"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35" s="46"/>
    </row>
    <row r="36" spans="1:78" s="1" customFormat="1" ht="28.5" customHeight="1" x14ac:dyDescent="0.4">
      <c r="A36" s="19">
        <v>29</v>
      </c>
      <c r="B36" s="75"/>
      <c r="C36" s="76"/>
      <c r="D36" s="76"/>
      <c r="E36" s="76"/>
      <c r="F36" s="34"/>
      <c r="G36" s="13"/>
      <c r="H36" s="22" t="s">
        <v>8</v>
      </c>
      <c r="I36" s="14"/>
      <c r="J36" s="22" t="s">
        <v>9</v>
      </c>
      <c r="K36" s="14"/>
      <c r="L36" s="22" t="s">
        <v>8</v>
      </c>
      <c r="M36" s="14"/>
      <c r="N36" s="2" t="str">
        <f t="shared" si="3"/>
        <v/>
      </c>
      <c r="O36" s="22" t="s">
        <v>10</v>
      </c>
      <c r="P36" s="22" t="str">
        <f t="shared" si="17"/>
        <v/>
      </c>
      <c r="Q36" s="3" t="s">
        <v>11</v>
      </c>
      <c r="R36" s="79"/>
      <c r="S36" s="80"/>
      <c r="T36" s="4" t="s">
        <v>12</v>
      </c>
      <c r="U36" s="79"/>
      <c r="V36" s="80"/>
      <c r="W36" s="4" t="s">
        <v>12</v>
      </c>
      <c r="X36" s="80"/>
      <c r="Y36" s="81"/>
      <c r="Z36" s="4" t="s">
        <v>12</v>
      </c>
      <c r="AA36" s="15"/>
      <c r="AB36" s="5" t="str">
        <f t="shared" si="5"/>
        <v/>
      </c>
      <c r="AC36" s="20" t="s">
        <v>8</v>
      </c>
      <c r="AD36" s="6" t="str">
        <f t="shared" si="18"/>
        <v/>
      </c>
      <c r="AE36" s="20" t="s">
        <v>9</v>
      </c>
      <c r="AF36" s="6" t="str">
        <f t="shared" si="19"/>
        <v/>
      </c>
      <c r="AG36" s="20" t="s">
        <v>8</v>
      </c>
      <c r="AH36" s="6" t="str">
        <f t="shared" si="7"/>
        <v/>
      </c>
      <c r="AI36" s="7" t="str">
        <f t="shared" si="20"/>
        <v/>
      </c>
      <c r="AJ36" s="20" t="s">
        <v>10</v>
      </c>
      <c r="AK36" s="8" t="str">
        <f t="shared" si="9"/>
        <v/>
      </c>
      <c r="AL36" s="9" t="s">
        <v>11</v>
      </c>
      <c r="AM36" s="7" t="str">
        <f t="shared" si="10"/>
        <v/>
      </c>
      <c r="AN36" s="20" t="s">
        <v>10</v>
      </c>
      <c r="AO36" s="8" t="str">
        <f t="shared" si="11"/>
        <v/>
      </c>
      <c r="AP36" s="10" t="s">
        <v>11</v>
      </c>
      <c r="AQ36" s="15" t="str" cm="1">
        <f t="array" ref="AQ36">IF(tbl利用3[[#This Row],[利用日]]="","",ROW()-ROW(tbl利用3[#Headers]))</f>
        <v/>
      </c>
      <c r="AR36" s="32" t="str">
        <f t="shared" ref="AR36:AR42" si="26">IF(B36="","",B36)</f>
        <v/>
      </c>
      <c r="AS36" s="15"/>
      <c r="AT36" s="43" t="str">
        <f>IF(F36="","",F36)</f>
        <v/>
      </c>
      <c r="AU36" s="1" t="str">
        <f>IF(F36="利用区分１",AI36,AM36)</f>
        <v/>
      </c>
      <c r="AV36" s="1" t="str">
        <f>IF(F36="利用区分１",AK36,AO36)</f>
        <v/>
      </c>
      <c r="AW36" s="1" t="str">
        <f>IF(tbl利用3[[#This Row],[利用日]]="","",N(tbl利用3[[#This Row],[利用時間_時]])*60+N(tbl利用3[[#This Row],[利用時間_分]]))</f>
        <v/>
      </c>
      <c r="AX36" s="44" t="str">
        <f t="shared" si="16"/>
        <v/>
      </c>
      <c r="AY36" s="44" t="str">
        <f t="shared" si="1"/>
        <v/>
      </c>
      <c r="AZ36" s="45" t="str">
        <f>IF(tbl利用3[[#This Row],[利用日]]="","",MAX(0,N(tbl利用3[[#This Row],[割引前利用額]])-N(tbl利用3[[#This Row],[割引額]])))</f>
        <v/>
      </c>
      <c r="BA36" s="45" t="str">
        <f>IF(OR(tbl利用3[[#This Row],[利用日]]="",tbl利用3[[#This Row],[利用分数]]&lt;=0),"",N(tbl利用3[[#This Row],[割引前利用額]])/tbl利用3[[#This Row],[利用分数]]*60)</f>
        <v/>
      </c>
      <c r="BB36" s="45" t="str">
        <f>IF(tbl利用3[[#This Row],[利用区分]]="","",_xlfn.XLOOKUP(tbl利用3[[#This Row],[利用区分]],$AQ$4:$AQ$5,$AR$4:$AR$5,"区分未登録"))</f>
        <v/>
      </c>
      <c r="BC36" s="45" t="str">
        <f>IF(OR(tbl利用3[[#This Row],[通常時間単価]]="",NOT(ISNUMBER(tbl利用3[[#This Row],[上限単価]]))),"",MIN(tbl利用3[[#This Row],[通常時間単価]],tbl利用3[[#This Row],[上限単価]]))</f>
        <v/>
      </c>
      <c r="BD36" s="45" t="str">
        <f>IF(tbl利用3[[#This Row],[利用日]]="","",tbl利用3[[#This Row],[利用分数]]/60*tbl利用3[[#This Row],[基準単価]])</f>
        <v/>
      </c>
      <c r="BE36" s="69" t="str">
        <f>IF(OR(tbl利用3[[#This Row],[利用日]]="",tbl利用3[[#This Row],[利用区分]]=""),"",TEXT(tbl利用3[[#This Row],[利用日]],"yyyymmdd")&amp;"|"&amp;tbl利用3[[#This Row],[利用区分]])</f>
        <v/>
      </c>
      <c r="BF36" s="45" t="str">
        <f>IF(tbl利用3[[#This Row],[日別区分キー]]="","",SUMIFS(tbl利用3[明細実支出額],tbl利用3[日別区分キー],tbl利用3[[#This Row],[日別区分キー]]))</f>
        <v/>
      </c>
      <c r="BG36" s="45" t="str">
        <f>IF(tbl利用3[[#This Row],[日別区分キー]]="","",SUMIFS(tbl利用3[処理前明細基準額],tbl利用3[日別区分キー],tbl利用3[[#This Row],[日別区分キー]]))</f>
        <v/>
      </c>
      <c r="BH36" s="45" t="str">
        <f>IF(tbl利用3[[#This Row],[日別区分キー]]="","",ROUNDDOWN(MIN(tbl利用3[[#This Row],[日別区分実支出額]],tbl利用3[[#This Row],[日別区分処理前基準額]]),0))</f>
        <v/>
      </c>
      <c r="BI36" s="45" t="str">
        <f>IF(tbl利用3[[#This Row],[日別区分キー]]="","",MAX(0,tbl利用3[[#This Row],[日別区分処理前基準額]]-tbl利用3[[#This Row],[日別区分実支出額]]))</f>
        <v/>
      </c>
      <c r="BJ36" s="45">
        <f>IF(OR(tbl利用3[[#This Row],[利用日]]="",tbl利用3[[#This Row],[基準単価]]&lt;=0),0,MIN(tbl利用3[[#This Row],[利用分数]],ROUNDDOWN(tbl利用3[[#This Row],[日別区分余裕額]]/(tbl利用3[[#This Row],[基準単価]]/60),0)))</f>
        <v>0</v>
      </c>
      <c r="BK36" s="50"/>
      <c r="BL36" s="71" t="str">
        <f t="shared" si="2"/>
        <v/>
      </c>
      <c r="BM36" s="45" t="str">
        <f>IF(tbl利用3[[#This Row],[利用日]]="","",MAX(0,tbl利用3[[#This Row],[利用分数]]-N(tbl利用3[[#This Row],[切捨分数]])))</f>
        <v/>
      </c>
      <c r="BN36" s="45" t="str">
        <f>IF(tbl利用3[[#This Row],[利用日]]="","",tbl利用3[[#This Row],[処理後利用分数]]/60*tbl利用3[[#This Row],[基準単価]])</f>
        <v/>
      </c>
      <c r="BO36" s="45" t="str">
        <f>IF(tbl利用3[[#This Row],[日別区分キー]]="","",SUMIFS(tbl利用3[処理後明細基準額],tbl利用3[日別区分キー],tbl利用3[[#This Row],[日別区分キー]]))</f>
        <v/>
      </c>
      <c r="BP36" s="45" t="str">
        <f>IF(tbl利用3[[#This Row],[日別区分キー]]="","",ROUNDDOWN(MIN(tbl利用3[[#This Row],[日別区分実支出額]],tbl利用3[[#This Row],[日別区分処理後基準額]]),0))</f>
        <v/>
      </c>
      <c r="BQ36" s="45" t="str">
        <f>IF(tbl利用3[[#This Row],[日別区分キー]]="","",tbl利用3[[#This Row],[日別区分処理前補助額]]-tbl利用3[[#This Row],[日別区分補助額]])</f>
        <v/>
      </c>
      <c r="BR36" s="45" t="str">
        <f>IF(OR(tbl利用3[[#This Row],[日別区分キー]]="",tbl利用3[[#This Row],[処理後利用分数]]&lt;=0),"",ROUNDDOWN(MIN(tbl利用3[[#This Row],[日別区分実支出額]],tbl利用3[[#This Row],[日別区分処理後基準額]]-tbl利用3[[#This Row],[基準単価]]/60),0))</f>
        <v/>
      </c>
      <c r="BS36" s="52" t="str">
        <f>IF(tbl利用3[[#This Row],[次の1分切捨時補助額]]="","",tbl利用3[[#This Row],[日別区分補助額]]-tbl利用3[[#This Row],[次の1分切捨時補助額]])</f>
        <v/>
      </c>
      <c r="BT36" s="45" t="str">
        <f>IF(tbl利用3[[#This Row],[日別区分キー]]="","",--(COUNTIF(INDEX(tbl利用3[日別区分キー],1):tbl利用3[[#This Row],[日別区分キー]],tbl利用3[[#This Row],[日別区分キー]])=1))</f>
        <v/>
      </c>
      <c r="BU36" s="45" t="str">
        <f>IF(tbl利用3[[#This Row],[利用区分]]="","",SUMIFS(tbl利用3[利用分数],tbl利用3[利用区分],tbl利用3[[#This Row],[利用区分]]))</f>
        <v/>
      </c>
      <c r="BV36" s="45" t="str">
        <f>IF(tbl利用3[[#This Row],[利用区分]]="","",MOD(tbl利用3[[#This Row],[区分総利用分数]],60))</f>
        <v/>
      </c>
      <c r="BW36" s="45" t="str">
        <f>IF(tbl利用3[[#This Row],[利用区分]]="","",SUMIFS(tbl利用3[切捨分数],tbl利用3[利用区分],tbl利用3[[#This Row],[利用区分]]))</f>
        <v/>
      </c>
      <c r="BX36" s="45" t="str">
        <f>IF(tbl利用3[[#This Row],[利用区分]]="","",IF(tbl利用3[[#This Row],[区分必要切捨分数]]=tbl利用3[[#This Row],[区分入力切捨合計]],"OK","要確認"))</f>
        <v/>
      </c>
      <c r="BY36"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36" s="46"/>
    </row>
    <row r="37" spans="1:78" s="1" customFormat="1" ht="28.5" customHeight="1" x14ac:dyDescent="0.4">
      <c r="A37" s="19">
        <v>30</v>
      </c>
      <c r="B37" s="75"/>
      <c r="C37" s="76"/>
      <c r="D37" s="76"/>
      <c r="E37" s="76"/>
      <c r="F37" s="34"/>
      <c r="G37" s="13"/>
      <c r="H37" s="22" t="s">
        <v>8</v>
      </c>
      <c r="I37" s="14"/>
      <c r="J37" s="22" t="s">
        <v>9</v>
      </c>
      <c r="K37" s="14"/>
      <c r="L37" s="22" t="s">
        <v>8</v>
      </c>
      <c r="M37" s="14"/>
      <c r="N37" s="2" t="str">
        <f t="shared" si="3"/>
        <v/>
      </c>
      <c r="O37" s="22" t="s">
        <v>10</v>
      </c>
      <c r="P37" s="22" t="str">
        <f t="shared" si="17"/>
        <v/>
      </c>
      <c r="Q37" s="3" t="s">
        <v>11</v>
      </c>
      <c r="R37" s="79"/>
      <c r="S37" s="80"/>
      <c r="T37" s="4" t="s">
        <v>12</v>
      </c>
      <c r="U37" s="79"/>
      <c r="V37" s="80"/>
      <c r="W37" s="4" t="s">
        <v>12</v>
      </c>
      <c r="X37" s="80"/>
      <c r="Y37" s="81"/>
      <c r="Z37" s="4" t="s">
        <v>12</v>
      </c>
      <c r="AA37" s="15"/>
      <c r="AB37" s="5" t="str">
        <f t="shared" si="5"/>
        <v/>
      </c>
      <c r="AC37" s="20" t="s">
        <v>8</v>
      </c>
      <c r="AD37" s="6" t="str">
        <f t="shared" si="18"/>
        <v/>
      </c>
      <c r="AE37" s="20" t="s">
        <v>9</v>
      </c>
      <c r="AF37" s="6" t="str">
        <f t="shared" si="19"/>
        <v/>
      </c>
      <c r="AG37" s="20" t="s">
        <v>8</v>
      </c>
      <c r="AH37" s="6" t="str">
        <f t="shared" si="7"/>
        <v/>
      </c>
      <c r="AI37" s="7" t="str">
        <f t="shared" si="20"/>
        <v/>
      </c>
      <c r="AJ37" s="20" t="s">
        <v>10</v>
      </c>
      <c r="AK37" s="8" t="str">
        <f t="shared" si="9"/>
        <v/>
      </c>
      <c r="AL37" s="9" t="s">
        <v>11</v>
      </c>
      <c r="AM37" s="7" t="str">
        <f t="shared" si="10"/>
        <v/>
      </c>
      <c r="AN37" s="20" t="s">
        <v>10</v>
      </c>
      <c r="AO37" s="8" t="str">
        <f t="shared" si="11"/>
        <v/>
      </c>
      <c r="AP37" s="10" t="s">
        <v>11</v>
      </c>
      <c r="AQ37" s="15" t="str" cm="1">
        <f t="array" ref="AQ37">IF(tbl利用3[[#This Row],[利用日]]="","",ROW()-ROW(tbl利用3[#Headers]))</f>
        <v/>
      </c>
      <c r="AR37" s="32" t="str">
        <f t="shared" si="26"/>
        <v/>
      </c>
      <c r="AS37" s="15"/>
      <c r="AT37" s="43" t="str">
        <f t="shared" ref="AT37:AT42" si="27">IF(F37="","",F37)</f>
        <v/>
      </c>
      <c r="AU37" s="1" t="str">
        <f t="shared" ref="AU37:AU42" si="28">IF(F37="利用区分１",AI37,AM37)</f>
        <v/>
      </c>
      <c r="AV37" s="1" t="str">
        <f t="shared" ref="AV37:AV42" si="29">IF(F37="利用区分１",AK37,AO37)</f>
        <v/>
      </c>
      <c r="AW37" s="1" t="str">
        <f>IF(tbl利用3[[#This Row],[利用日]]="","",N(tbl利用3[[#This Row],[利用時間_時]])*60+N(tbl利用3[[#This Row],[利用時間_分]]))</f>
        <v/>
      </c>
      <c r="AX37" s="44" t="str">
        <f t="shared" si="16"/>
        <v/>
      </c>
      <c r="AY37" s="44" t="str">
        <f t="shared" si="1"/>
        <v/>
      </c>
      <c r="AZ37" s="45" t="str">
        <f>IF(tbl利用3[[#This Row],[利用日]]="","",MAX(0,N(tbl利用3[[#This Row],[割引前利用額]])-N(tbl利用3[[#This Row],[割引額]])))</f>
        <v/>
      </c>
      <c r="BA37" s="45" t="str">
        <f>IF(OR(tbl利用3[[#This Row],[利用日]]="",tbl利用3[[#This Row],[利用分数]]&lt;=0),"",N(tbl利用3[[#This Row],[割引前利用額]])/tbl利用3[[#This Row],[利用分数]]*60)</f>
        <v/>
      </c>
      <c r="BB37" s="45" t="str">
        <f>IF(tbl利用3[[#This Row],[利用区分]]="","",_xlfn.XLOOKUP(tbl利用3[[#This Row],[利用区分]],$AQ$4:$AQ$5,$AR$4:$AR$5,"区分未登録"))</f>
        <v/>
      </c>
      <c r="BC37" s="45" t="str">
        <f>IF(OR(tbl利用3[[#This Row],[通常時間単価]]="",NOT(ISNUMBER(tbl利用3[[#This Row],[上限単価]]))),"",MIN(tbl利用3[[#This Row],[通常時間単価]],tbl利用3[[#This Row],[上限単価]]))</f>
        <v/>
      </c>
      <c r="BD37" s="45" t="str">
        <f>IF(tbl利用3[[#This Row],[利用日]]="","",tbl利用3[[#This Row],[利用分数]]/60*tbl利用3[[#This Row],[基準単価]])</f>
        <v/>
      </c>
      <c r="BE37" s="69" t="str">
        <f>IF(OR(tbl利用3[[#This Row],[利用日]]="",tbl利用3[[#This Row],[利用区分]]=""),"",TEXT(tbl利用3[[#This Row],[利用日]],"yyyymmdd")&amp;"|"&amp;tbl利用3[[#This Row],[利用区分]])</f>
        <v/>
      </c>
      <c r="BF37" s="45" t="str">
        <f>IF(tbl利用3[[#This Row],[日別区分キー]]="","",SUMIFS(tbl利用3[明細実支出額],tbl利用3[日別区分キー],tbl利用3[[#This Row],[日別区分キー]]))</f>
        <v/>
      </c>
      <c r="BG37" s="45" t="str">
        <f>IF(tbl利用3[[#This Row],[日別区分キー]]="","",SUMIFS(tbl利用3[処理前明細基準額],tbl利用3[日別区分キー],tbl利用3[[#This Row],[日別区分キー]]))</f>
        <v/>
      </c>
      <c r="BH37" s="45" t="str">
        <f>IF(tbl利用3[[#This Row],[日別区分キー]]="","",ROUNDDOWN(MIN(tbl利用3[[#This Row],[日別区分実支出額]],tbl利用3[[#This Row],[日別区分処理前基準額]]),0))</f>
        <v/>
      </c>
      <c r="BI37" s="45" t="str">
        <f>IF(tbl利用3[[#This Row],[日別区分キー]]="","",MAX(0,tbl利用3[[#This Row],[日別区分処理前基準額]]-tbl利用3[[#This Row],[日別区分実支出額]]))</f>
        <v/>
      </c>
      <c r="BJ37" s="45">
        <f>IF(OR(tbl利用3[[#This Row],[利用日]]="",tbl利用3[[#This Row],[基準単価]]&lt;=0),0,MIN(tbl利用3[[#This Row],[利用分数]],ROUNDDOWN(tbl利用3[[#This Row],[日別区分余裕額]]/(tbl利用3[[#This Row],[基準単価]]/60),0)))</f>
        <v>0</v>
      </c>
      <c r="BK37" s="50"/>
      <c r="BL37" s="71" t="str">
        <f t="shared" si="2"/>
        <v/>
      </c>
      <c r="BM37" s="45" t="str">
        <f>IF(tbl利用3[[#This Row],[利用日]]="","",MAX(0,tbl利用3[[#This Row],[利用分数]]-N(tbl利用3[[#This Row],[切捨分数]])))</f>
        <v/>
      </c>
      <c r="BN37" s="45" t="str">
        <f>IF(tbl利用3[[#This Row],[利用日]]="","",tbl利用3[[#This Row],[処理後利用分数]]/60*tbl利用3[[#This Row],[基準単価]])</f>
        <v/>
      </c>
      <c r="BO37" s="45" t="str">
        <f>IF(tbl利用3[[#This Row],[日別区分キー]]="","",SUMIFS(tbl利用3[処理後明細基準額],tbl利用3[日別区分キー],tbl利用3[[#This Row],[日別区分キー]]))</f>
        <v/>
      </c>
      <c r="BP37" s="45" t="str">
        <f>IF(tbl利用3[[#This Row],[日別区分キー]]="","",ROUNDDOWN(MIN(tbl利用3[[#This Row],[日別区分実支出額]],tbl利用3[[#This Row],[日別区分処理後基準額]]),0))</f>
        <v/>
      </c>
      <c r="BQ37" s="45" t="str">
        <f>IF(tbl利用3[[#This Row],[日別区分キー]]="","",tbl利用3[[#This Row],[日別区分処理前補助額]]-tbl利用3[[#This Row],[日別区分補助額]])</f>
        <v/>
      </c>
      <c r="BR37" s="45" t="str">
        <f>IF(OR(tbl利用3[[#This Row],[日別区分キー]]="",tbl利用3[[#This Row],[処理後利用分数]]&lt;=0),"",ROUNDDOWN(MIN(tbl利用3[[#This Row],[日別区分実支出額]],tbl利用3[[#This Row],[日別区分処理後基準額]]-tbl利用3[[#This Row],[基準単価]]/60),0))</f>
        <v/>
      </c>
      <c r="BS37" s="52" t="str">
        <f>IF(tbl利用3[[#This Row],[次の1分切捨時補助額]]="","",tbl利用3[[#This Row],[日別区分補助額]]-tbl利用3[[#This Row],[次の1分切捨時補助額]])</f>
        <v/>
      </c>
      <c r="BT37" s="45" t="str">
        <f>IF(tbl利用3[[#This Row],[日別区分キー]]="","",--(COUNTIF(INDEX(tbl利用3[日別区分キー],1):tbl利用3[[#This Row],[日別区分キー]],tbl利用3[[#This Row],[日別区分キー]])=1))</f>
        <v/>
      </c>
      <c r="BU37" s="45" t="str">
        <f>IF(tbl利用3[[#This Row],[利用区分]]="","",SUMIFS(tbl利用3[利用分数],tbl利用3[利用区分],tbl利用3[[#This Row],[利用区分]]))</f>
        <v/>
      </c>
      <c r="BV37" s="45" t="str">
        <f>IF(tbl利用3[[#This Row],[利用区分]]="","",MOD(tbl利用3[[#This Row],[区分総利用分数]],60))</f>
        <v/>
      </c>
      <c r="BW37" s="45" t="str">
        <f>IF(tbl利用3[[#This Row],[利用区分]]="","",SUMIFS(tbl利用3[切捨分数],tbl利用3[利用区分],tbl利用3[[#This Row],[利用区分]]))</f>
        <v/>
      </c>
      <c r="BX37" s="45" t="str">
        <f>IF(tbl利用3[[#This Row],[利用区分]]="","",IF(tbl利用3[[#This Row],[区分必要切捨分数]]=tbl利用3[[#This Row],[区分入力切捨合計]],"OK","要確認"))</f>
        <v/>
      </c>
      <c r="BY37"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37" s="46"/>
    </row>
    <row r="38" spans="1:78" s="1" customFormat="1" ht="28.5" customHeight="1" x14ac:dyDescent="0.4">
      <c r="A38" s="19">
        <v>31</v>
      </c>
      <c r="B38" s="75"/>
      <c r="C38" s="76"/>
      <c r="D38" s="76"/>
      <c r="E38" s="76"/>
      <c r="F38" s="34"/>
      <c r="G38" s="13"/>
      <c r="H38" s="22" t="s">
        <v>8</v>
      </c>
      <c r="I38" s="14"/>
      <c r="J38" s="22" t="s">
        <v>9</v>
      </c>
      <c r="K38" s="14"/>
      <c r="L38" s="22" t="s">
        <v>8</v>
      </c>
      <c r="M38" s="14"/>
      <c r="N38" s="2" t="str">
        <f t="shared" si="3"/>
        <v/>
      </c>
      <c r="O38" s="22" t="s">
        <v>10</v>
      </c>
      <c r="P38" s="22" t="str">
        <f t="shared" si="17"/>
        <v/>
      </c>
      <c r="Q38" s="3" t="s">
        <v>11</v>
      </c>
      <c r="R38" s="79"/>
      <c r="S38" s="80"/>
      <c r="T38" s="4" t="s">
        <v>12</v>
      </c>
      <c r="U38" s="79"/>
      <c r="V38" s="80"/>
      <c r="W38" s="4" t="s">
        <v>12</v>
      </c>
      <c r="X38" s="80"/>
      <c r="Y38" s="81"/>
      <c r="Z38" s="4" t="s">
        <v>12</v>
      </c>
      <c r="AA38" s="15"/>
      <c r="AB38" s="5" t="str">
        <f>IF(K38&lt;7,"",IF(G38&gt;22,0,IF(G38&lt;7,7,G38)))</f>
        <v/>
      </c>
      <c r="AC38" s="20" t="s">
        <v>8</v>
      </c>
      <c r="AD38" s="6" t="str">
        <f t="shared" si="18"/>
        <v/>
      </c>
      <c r="AE38" s="20" t="s">
        <v>9</v>
      </c>
      <c r="AF38" s="6" t="str">
        <f t="shared" si="19"/>
        <v/>
      </c>
      <c r="AG38" s="20" t="s">
        <v>8</v>
      </c>
      <c r="AH38" s="6" t="str">
        <f t="shared" si="7"/>
        <v/>
      </c>
      <c r="AI38" s="7" t="str">
        <f t="shared" si="20"/>
        <v/>
      </c>
      <c r="AJ38" s="20" t="s">
        <v>10</v>
      </c>
      <c r="AK38" s="8" t="str">
        <f t="shared" si="9"/>
        <v/>
      </c>
      <c r="AL38" s="9" t="s">
        <v>11</v>
      </c>
      <c r="AM38" s="7" t="str">
        <f t="shared" si="10"/>
        <v/>
      </c>
      <c r="AN38" s="20" t="s">
        <v>10</v>
      </c>
      <c r="AO38" s="8" t="str">
        <f t="shared" si="11"/>
        <v/>
      </c>
      <c r="AP38" s="10" t="s">
        <v>11</v>
      </c>
      <c r="AQ38" s="15" t="str" cm="1">
        <f t="array" ref="AQ38">IF(tbl利用3[[#This Row],[利用日]]="","",ROW()-ROW(tbl利用3[#Headers]))</f>
        <v/>
      </c>
      <c r="AR38" s="32" t="str">
        <f t="shared" si="26"/>
        <v/>
      </c>
      <c r="AS38" s="15"/>
      <c r="AT38" s="43" t="str">
        <f t="shared" si="27"/>
        <v/>
      </c>
      <c r="AU38" s="1" t="str">
        <f t="shared" si="28"/>
        <v/>
      </c>
      <c r="AV38" s="1" t="str">
        <f t="shared" si="29"/>
        <v/>
      </c>
      <c r="AW38" s="1" t="str">
        <f>IF(tbl利用3[[#This Row],[利用日]]="","",N(tbl利用3[[#This Row],[利用時間_時]])*60+N(tbl利用3[[#This Row],[利用時間_分]]))</f>
        <v/>
      </c>
      <c r="AX38" s="44" t="str">
        <f t="shared" si="16"/>
        <v/>
      </c>
      <c r="AY38" s="44" t="str">
        <f t="shared" si="1"/>
        <v/>
      </c>
      <c r="AZ38" s="45" t="str">
        <f>IF(tbl利用3[[#This Row],[利用日]]="","",MAX(0,N(tbl利用3[[#This Row],[割引前利用額]])-N(tbl利用3[[#This Row],[割引額]])))</f>
        <v/>
      </c>
      <c r="BA38" s="45" t="str">
        <f>IF(OR(tbl利用3[[#This Row],[利用日]]="",tbl利用3[[#This Row],[利用分数]]&lt;=0),"",N(tbl利用3[[#This Row],[割引前利用額]])/tbl利用3[[#This Row],[利用分数]]*60)</f>
        <v/>
      </c>
      <c r="BB38" s="45" t="str">
        <f>IF(tbl利用3[[#This Row],[利用区分]]="","",_xlfn.XLOOKUP(tbl利用3[[#This Row],[利用区分]],$AQ$4:$AQ$5,$AR$4:$AR$5,"区分未登録"))</f>
        <v/>
      </c>
      <c r="BC38" s="45" t="str">
        <f>IF(OR(tbl利用3[[#This Row],[通常時間単価]]="",NOT(ISNUMBER(tbl利用3[[#This Row],[上限単価]]))),"",MIN(tbl利用3[[#This Row],[通常時間単価]],tbl利用3[[#This Row],[上限単価]]))</f>
        <v/>
      </c>
      <c r="BD38" s="45" t="str">
        <f>IF(tbl利用3[[#This Row],[利用日]]="","",tbl利用3[[#This Row],[利用分数]]/60*tbl利用3[[#This Row],[基準単価]])</f>
        <v/>
      </c>
      <c r="BE38" s="69" t="str">
        <f>IF(OR(tbl利用3[[#This Row],[利用日]]="",tbl利用3[[#This Row],[利用区分]]=""),"",TEXT(tbl利用3[[#This Row],[利用日]],"yyyymmdd")&amp;"|"&amp;tbl利用3[[#This Row],[利用区分]])</f>
        <v/>
      </c>
      <c r="BF38" s="45" t="str">
        <f>IF(tbl利用3[[#This Row],[日別区分キー]]="","",SUMIFS(tbl利用3[明細実支出額],tbl利用3[日別区分キー],tbl利用3[[#This Row],[日別区分キー]]))</f>
        <v/>
      </c>
      <c r="BG38" s="45" t="str">
        <f>IF(tbl利用3[[#This Row],[日別区分キー]]="","",SUMIFS(tbl利用3[処理前明細基準額],tbl利用3[日別区分キー],tbl利用3[[#This Row],[日別区分キー]]))</f>
        <v/>
      </c>
      <c r="BH38" s="45" t="str">
        <f>IF(tbl利用3[[#This Row],[日別区分キー]]="","",ROUNDDOWN(MIN(tbl利用3[[#This Row],[日別区分実支出額]],tbl利用3[[#This Row],[日別区分処理前基準額]]),0))</f>
        <v/>
      </c>
      <c r="BI38" s="45" t="str">
        <f>IF(tbl利用3[[#This Row],[日別区分キー]]="","",MAX(0,tbl利用3[[#This Row],[日別区分処理前基準額]]-tbl利用3[[#This Row],[日別区分実支出額]]))</f>
        <v/>
      </c>
      <c r="BJ38" s="45">
        <f>IF(OR(tbl利用3[[#This Row],[利用日]]="",tbl利用3[[#This Row],[基準単価]]&lt;=0),0,MIN(tbl利用3[[#This Row],[利用分数]],ROUNDDOWN(tbl利用3[[#This Row],[日別区分余裕額]]/(tbl利用3[[#This Row],[基準単価]]/60),0)))</f>
        <v>0</v>
      </c>
      <c r="BK38" s="50"/>
      <c r="BL38" s="71" t="str">
        <f t="shared" si="2"/>
        <v/>
      </c>
      <c r="BM38" s="45" t="str">
        <f>IF(tbl利用3[[#This Row],[利用日]]="","",MAX(0,tbl利用3[[#This Row],[利用分数]]-N(tbl利用3[[#This Row],[切捨分数]])))</f>
        <v/>
      </c>
      <c r="BN38" s="45" t="str">
        <f>IF(tbl利用3[[#This Row],[利用日]]="","",tbl利用3[[#This Row],[処理後利用分数]]/60*tbl利用3[[#This Row],[基準単価]])</f>
        <v/>
      </c>
      <c r="BO38" s="45" t="str">
        <f>IF(tbl利用3[[#This Row],[日別区分キー]]="","",SUMIFS(tbl利用3[処理後明細基準額],tbl利用3[日別区分キー],tbl利用3[[#This Row],[日別区分キー]]))</f>
        <v/>
      </c>
      <c r="BP38" s="45" t="str">
        <f>IF(tbl利用3[[#This Row],[日別区分キー]]="","",ROUNDDOWN(MIN(tbl利用3[[#This Row],[日別区分実支出額]],tbl利用3[[#This Row],[日別区分処理後基準額]]),0))</f>
        <v/>
      </c>
      <c r="BQ38" s="45" t="str">
        <f>IF(tbl利用3[[#This Row],[日別区分キー]]="","",tbl利用3[[#This Row],[日別区分処理前補助額]]-tbl利用3[[#This Row],[日別区分補助額]])</f>
        <v/>
      </c>
      <c r="BR38" s="45" t="str">
        <f>IF(OR(tbl利用3[[#This Row],[日別区分キー]]="",tbl利用3[[#This Row],[処理後利用分数]]&lt;=0),"",ROUNDDOWN(MIN(tbl利用3[[#This Row],[日別区分実支出額]],tbl利用3[[#This Row],[日別区分処理後基準額]]-tbl利用3[[#This Row],[基準単価]]/60),0))</f>
        <v/>
      </c>
      <c r="BS38" s="52" t="str">
        <f>IF(tbl利用3[[#This Row],[次の1分切捨時補助額]]="","",tbl利用3[[#This Row],[日別区分補助額]]-tbl利用3[[#This Row],[次の1分切捨時補助額]])</f>
        <v/>
      </c>
      <c r="BT38" s="45" t="str">
        <f>IF(tbl利用3[[#This Row],[日別区分キー]]="","",--(COUNTIF(INDEX(tbl利用3[日別区分キー],1):tbl利用3[[#This Row],[日別区分キー]],tbl利用3[[#This Row],[日別区分キー]])=1))</f>
        <v/>
      </c>
      <c r="BU38" s="45" t="str">
        <f>IF(tbl利用3[[#This Row],[利用区分]]="","",SUMIFS(tbl利用3[利用分数],tbl利用3[利用区分],tbl利用3[[#This Row],[利用区分]]))</f>
        <v/>
      </c>
      <c r="BV38" s="45" t="str">
        <f>IF(tbl利用3[[#This Row],[利用区分]]="","",MOD(tbl利用3[[#This Row],[区分総利用分数]],60))</f>
        <v/>
      </c>
      <c r="BW38" s="45" t="str">
        <f>IF(tbl利用3[[#This Row],[利用区分]]="","",SUMIFS(tbl利用3[切捨分数],tbl利用3[利用区分],tbl利用3[[#This Row],[利用区分]]))</f>
        <v/>
      </c>
      <c r="BX38" s="45" t="str">
        <f>IF(tbl利用3[[#This Row],[利用区分]]="","",IF(tbl利用3[[#This Row],[区分必要切捨分数]]=tbl利用3[[#This Row],[区分入力切捨合計]],"OK","要確認"))</f>
        <v/>
      </c>
      <c r="BY38"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38" s="46"/>
    </row>
    <row r="39" spans="1:78" s="1" customFormat="1" ht="28.5" customHeight="1" x14ac:dyDescent="0.4">
      <c r="A39" s="19">
        <v>32</v>
      </c>
      <c r="B39" s="75"/>
      <c r="C39" s="76"/>
      <c r="D39" s="76"/>
      <c r="E39" s="76"/>
      <c r="F39" s="34"/>
      <c r="G39" s="13"/>
      <c r="H39" s="22" t="s">
        <v>8</v>
      </c>
      <c r="I39" s="14"/>
      <c r="J39" s="22" t="s">
        <v>9</v>
      </c>
      <c r="K39" s="14"/>
      <c r="L39" s="22" t="s">
        <v>8</v>
      </c>
      <c r="M39" s="14"/>
      <c r="N39" s="2" t="str">
        <f t="shared" si="3"/>
        <v/>
      </c>
      <c r="O39" s="22" t="s">
        <v>10</v>
      </c>
      <c r="P39" s="22" t="str">
        <f t="shared" si="17"/>
        <v/>
      </c>
      <c r="Q39" s="3" t="s">
        <v>11</v>
      </c>
      <c r="R39" s="79"/>
      <c r="S39" s="80"/>
      <c r="T39" s="4" t="s">
        <v>12</v>
      </c>
      <c r="U39" s="79"/>
      <c r="V39" s="80"/>
      <c r="W39" s="4" t="s">
        <v>12</v>
      </c>
      <c r="X39" s="80"/>
      <c r="Y39" s="81"/>
      <c r="Z39" s="4" t="s">
        <v>12</v>
      </c>
      <c r="AA39" s="15"/>
      <c r="AB39" s="5" t="str">
        <f t="shared" ref="AB39:AB42" si="30">IF(K39&lt;7,"",IF(G39&gt;22,0,IF(G39&lt;7,7,G39)))</f>
        <v/>
      </c>
      <c r="AC39" s="20" t="s">
        <v>8</v>
      </c>
      <c r="AD39" s="6" t="str">
        <f t="shared" si="18"/>
        <v/>
      </c>
      <c r="AE39" s="20" t="s">
        <v>9</v>
      </c>
      <c r="AF39" s="6" t="str">
        <f t="shared" si="19"/>
        <v/>
      </c>
      <c r="AG39" s="20" t="s">
        <v>8</v>
      </c>
      <c r="AH39" s="6" t="str">
        <f t="shared" si="7"/>
        <v/>
      </c>
      <c r="AI39" s="7" t="str">
        <f t="shared" si="20"/>
        <v/>
      </c>
      <c r="AJ39" s="20" t="s">
        <v>10</v>
      </c>
      <c r="AK39" s="8" t="str">
        <f t="shared" si="9"/>
        <v/>
      </c>
      <c r="AL39" s="9" t="s">
        <v>11</v>
      </c>
      <c r="AM39" s="7" t="str">
        <f t="shared" si="10"/>
        <v/>
      </c>
      <c r="AN39" s="20" t="s">
        <v>10</v>
      </c>
      <c r="AO39" s="8" t="str">
        <f t="shared" si="11"/>
        <v/>
      </c>
      <c r="AP39" s="10" t="s">
        <v>11</v>
      </c>
      <c r="AQ39" s="15" t="str" cm="1">
        <f t="array" ref="AQ39">IF(tbl利用3[[#This Row],[利用日]]="","",ROW()-ROW(tbl利用3[#Headers]))</f>
        <v/>
      </c>
      <c r="AR39" s="32" t="str">
        <f t="shared" si="26"/>
        <v/>
      </c>
      <c r="AS39" s="15"/>
      <c r="AT39" s="43" t="str">
        <f t="shared" si="27"/>
        <v/>
      </c>
      <c r="AU39" s="1" t="str">
        <f t="shared" si="28"/>
        <v/>
      </c>
      <c r="AV39" s="1" t="str">
        <f t="shared" si="29"/>
        <v/>
      </c>
      <c r="AW39" s="1" t="str">
        <f>IF(tbl利用3[[#This Row],[利用日]]="","",N(tbl利用3[[#This Row],[利用時間_時]])*60+N(tbl利用3[[#This Row],[利用時間_分]]))</f>
        <v/>
      </c>
      <c r="AX39" s="44" t="str">
        <f t="shared" si="16"/>
        <v/>
      </c>
      <c r="AY39" s="44" t="str">
        <f t="shared" si="1"/>
        <v/>
      </c>
      <c r="AZ39" s="45" t="str">
        <f>IF(tbl利用3[[#This Row],[利用日]]="","",MAX(0,N(tbl利用3[[#This Row],[割引前利用額]])-N(tbl利用3[[#This Row],[割引額]])))</f>
        <v/>
      </c>
      <c r="BA39" s="45" t="str">
        <f>IF(OR(tbl利用3[[#This Row],[利用日]]="",tbl利用3[[#This Row],[利用分数]]&lt;=0),"",N(tbl利用3[[#This Row],[割引前利用額]])/tbl利用3[[#This Row],[利用分数]]*60)</f>
        <v/>
      </c>
      <c r="BB39" s="45" t="str">
        <f>IF(tbl利用3[[#This Row],[利用区分]]="","",_xlfn.XLOOKUP(tbl利用3[[#This Row],[利用区分]],$AQ$4:$AQ$5,$AR$4:$AR$5,"区分未登録"))</f>
        <v/>
      </c>
      <c r="BC39" s="45" t="str">
        <f>IF(OR(tbl利用3[[#This Row],[通常時間単価]]="",NOT(ISNUMBER(tbl利用3[[#This Row],[上限単価]]))),"",MIN(tbl利用3[[#This Row],[通常時間単価]],tbl利用3[[#This Row],[上限単価]]))</f>
        <v/>
      </c>
      <c r="BD39" s="45" t="str">
        <f>IF(tbl利用3[[#This Row],[利用日]]="","",tbl利用3[[#This Row],[利用分数]]/60*tbl利用3[[#This Row],[基準単価]])</f>
        <v/>
      </c>
      <c r="BE39" s="69" t="str">
        <f>IF(OR(tbl利用3[[#This Row],[利用日]]="",tbl利用3[[#This Row],[利用区分]]=""),"",TEXT(tbl利用3[[#This Row],[利用日]],"yyyymmdd")&amp;"|"&amp;tbl利用3[[#This Row],[利用区分]])</f>
        <v/>
      </c>
      <c r="BF39" s="45" t="str">
        <f>IF(tbl利用3[[#This Row],[日別区分キー]]="","",SUMIFS(tbl利用3[明細実支出額],tbl利用3[日別区分キー],tbl利用3[[#This Row],[日別区分キー]]))</f>
        <v/>
      </c>
      <c r="BG39" s="45" t="str">
        <f>IF(tbl利用3[[#This Row],[日別区分キー]]="","",SUMIFS(tbl利用3[処理前明細基準額],tbl利用3[日別区分キー],tbl利用3[[#This Row],[日別区分キー]]))</f>
        <v/>
      </c>
      <c r="BH39" s="45" t="str">
        <f>IF(tbl利用3[[#This Row],[日別区分キー]]="","",ROUNDDOWN(MIN(tbl利用3[[#This Row],[日別区分実支出額]],tbl利用3[[#This Row],[日別区分処理前基準額]]),0))</f>
        <v/>
      </c>
      <c r="BI39" s="45" t="str">
        <f>IF(tbl利用3[[#This Row],[日別区分キー]]="","",MAX(0,tbl利用3[[#This Row],[日別区分処理前基準額]]-tbl利用3[[#This Row],[日別区分実支出額]]))</f>
        <v/>
      </c>
      <c r="BJ39" s="45">
        <f>IF(OR(tbl利用3[[#This Row],[利用日]]="",tbl利用3[[#This Row],[基準単価]]&lt;=0),0,MIN(tbl利用3[[#This Row],[利用分数]],ROUNDDOWN(tbl利用3[[#This Row],[日別区分余裕額]]/(tbl利用3[[#This Row],[基準単価]]/60),0)))</f>
        <v>0</v>
      </c>
      <c r="BK39" s="50"/>
      <c r="BL39" s="71" t="str">
        <f t="shared" si="2"/>
        <v/>
      </c>
      <c r="BM39" s="45" t="str">
        <f>IF(tbl利用3[[#This Row],[利用日]]="","",MAX(0,tbl利用3[[#This Row],[利用分数]]-N(tbl利用3[[#This Row],[切捨分数]])))</f>
        <v/>
      </c>
      <c r="BN39" s="45" t="str">
        <f>IF(tbl利用3[[#This Row],[利用日]]="","",tbl利用3[[#This Row],[処理後利用分数]]/60*tbl利用3[[#This Row],[基準単価]])</f>
        <v/>
      </c>
      <c r="BO39" s="45" t="str">
        <f>IF(tbl利用3[[#This Row],[日別区分キー]]="","",SUMIFS(tbl利用3[処理後明細基準額],tbl利用3[日別区分キー],tbl利用3[[#This Row],[日別区分キー]]))</f>
        <v/>
      </c>
      <c r="BP39" s="45" t="str">
        <f>IF(tbl利用3[[#This Row],[日別区分キー]]="","",ROUNDDOWN(MIN(tbl利用3[[#This Row],[日別区分実支出額]],tbl利用3[[#This Row],[日別区分処理後基準額]]),0))</f>
        <v/>
      </c>
      <c r="BQ39" s="45" t="str">
        <f>IF(tbl利用3[[#This Row],[日別区分キー]]="","",tbl利用3[[#This Row],[日別区分処理前補助額]]-tbl利用3[[#This Row],[日別区分補助額]])</f>
        <v/>
      </c>
      <c r="BR39" s="45" t="str">
        <f>IF(OR(tbl利用3[[#This Row],[日別区分キー]]="",tbl利用3[[#This Row],[処理後利用分数]]&lt;=0),"",ROUNDDOWN(MIN(tbl利用3[[#This Row],[日別区分実支出額]],tbl利用3[[#This Row],[日別区分処理後基準額]]-tbl利用3[[#This Row],[基準単価]]/60),0))</f>
        <v/>
      </c>
      <c r="BS39" s="52" t="str">
        <f>IF(tbl利用3[[#This Row],[次の1分切捨時補助額]]="","",tbl利用3[[#This Row],[日別区分補助額]]-tbl利用3[[#This Row],[次の1分切捨時補助額]])</f>
        <v/>
      </c>
      <c r="BT39" s="45" t="str">
        <f>IF(tbl利用3[[#This Row],[日別区分キー]]="","",--(COUNTIF(INDEX(tbl利用3[日別区分キー],1):tbl利用3[[#This Row],[日別区分キー]],tbl利用3[[#This Row],[日別区分キー]])=1))</f>
        <v/>
      </c>
      <c r="BU39" s="45" t="str">
        <f>IF(tbl利用3[[#This Row],[利用区分]]="","",SUMIFS(tbl利用3[利用分数],tbl利用3[利用区分],tbl利用3[[#This Row],[利用区分]]))</f>
        <v/>
      </c>
      <c r="BV39" s="45" t="str">
        <f>IF(tbl利用3[[#This Row],[利用区分]]="","",MOD(tbl利用3[[#This Row],[区分総利用分数]],60))</f>
        <v/>
      </c>
      <c r="BW39" s="45" t="str">
        <f>IF(tbl利用3[[#This Row],[利用区分]]="","",SUMIFS(tbl利用3[切捨分数],tbl利用3[利用区分],tbl利用3[[#This Row],[利用区分]]))</f>
        <v/>
      </c>
      <c r="BX39" s="45" t="str">
        <f>IF(tbl利用3[[#This Row],[利用区分]]="","",IF(tbl利用3[[#This Row],[区分必要切捨分数]]=tbl利用3[[#This Row],[区分入力切捨合計]],"OK","要確認"))</f>
        <v/>
      </c>
      <c r="BY39"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39" s="46"/>
    </row>
    <row r="40" spans="1:78" s="1" customFormat="1" ht="28.5" customHeight="1" x14ac:dyDescent="0.4">
      <c r="A40" s="19">
        <v>33</v>
      </c>
      <c r="B40" s="75"/>
      <c r="C40" s="76"/>
      <c r="D40" s="76"/>
      <c r="E40" s="76"/>
      <c r="F40" s="34"/>
      <c r="G40" s="13"/>
      <c r="H40" s="22" t="s">
        <v>8</v>
      </c>
      <c r="I40" s="14"/>
      <c r="J40" s="22" t="s">
        <v>9</v>
      </c>
      <c r="K40" s="14"/>
      <c r="L40" s="22" t="s">
        <v>8</v>
      </c>
      <c r="M40" s="14"/>
      <c r="N40" s="2" t="str">
        <f t="shared" si="3"/>
        <v/>
      </c>
      <c r="O40" s="22" t="s">
        <v>10</v>
      </c>
      <c r="P40" s="22" t="str">
        <f t="shared" si="17"/>
        <v/>
      </c>
      <c r="Q40" s="3" t="s">
        <v>11</v>
      </c>
      <c r="R40" s="79"/>
      <c r="S40" s="80"/>
      <c r="T40" s="4" t="s">
        <v>12</v>
      </c>
      <c r="U40" s="79"/>
      <c r="V40" s="80"/>
      <c r="W40" s="4" t="s">
        <v>12</v>
      </c>
      <c r="X40" s="80"/>
      <c r="Y40" s="81"/>
      <c r="Z40" s="4" t="s">
        <v>12</v>
      </c>
      <c r="AA40" s="15"/>
      <c r="AB40" s="5" t="str">
        <f t="shared" si="30"/>
        <v/>
      </c>
      <c r="AC40" s="20" t="s">
        <v>8</v>
      </c>
      <c r="AD40" s="6" t="str">
        <f t="shared" si="18"/>
        <v/>
      </c>
      <c r="AE40" s="20" t="s">
        <v>9</v>
      </c>
      <c r="AF40" s="6" t="str">
        <f t="shared" si="19"/>
        <v/>
      </c>
      <c r="AG40" s="20" t="s">
        <v>8</v>
      </c>
      <c r="AH40" s="6" t="str">
        <f t="shared" si="7"/>
        <v/>
      </c>
      <c r="AI40" s="7" t="str">
        <f t="shared" si="20"/>
        <v/>
      </c>
      <c r="AJ40" s="20" t="s">
        <v>10</v>
      </c>
      <c r="AK40" s="8" t="str">
        <f t="shared" si="9"/>
        <v/>
      </c>
      <c r="AL40" s="9" t="s">
        <v>11</v>
      </c>
      <c r="AM40" s="7" t="str">
        <f t="shared" si="10"/>
        <v/>
      </c>
      <c r="AN40" s="20" t="s">
        <v>10</v>
      </c>
      <c r="AO40" s="8" t="str">
        <f t="shared" si="11"/>
        <v/>
      </c>
      <c r="AP40" s="10" t="s">
        <v>11</v>
      </c>
      <c r="AQ40" s="15" t="str" cm="1">
        <f t="array" ref="AQ40">IF(tbl利用3[[#This Row],[利用日]]="","",ROW()-ROW(tbl利用3[#Headers]))</f>
        <v/>
      </c>
      <c r="AR40" s="32" t="str">
        <f t="shared" si="26"/>
        <v/>
      </c>
      <c r="AS40" s="15"/>
      <c r="AT40" s="43" t="str">
        <f t="shared" si="27"/>
        <v/>
      </c>
      <c r="AU40" s="1" t="str">
        <f t="shared" si="28"/>
        <v/>
      </c>
      <c r="AV40" s="1" t="str">
        <f t="shared" si="29"/>
        <v/>
      </c>
      <c r="AW40" s="1" t="str">
        <f>IF(tbl利用3[[#This Row],[利用日]]="","",N(tbl利用3[[#This Row],[利用時間_時]])*60+N(tbl利用3[[#This Row],[利用時間_分]]))</f>
        <v/>
      </c>
      <c r="AX40" s="44" t="str">
        <f t="shared" si="16"/>
        <v/>
      </c>
      <c r="AY40" s="44" t="str">
        <f t="shared" si="1"/>
        <v/>
      </c>
      <c r="AZ40" s="45" t="str">
        <f>IF(tbl利用3[[#This Row],[利用日]]="","",MAX(0,N(tbl利用3[[#This Row],[割引前利用額]])-N(tbl利用3[[#This Row],[割引額]])))</f>
        <v/>
      </c>
      <c r="BA40" s="45" t="str">
        <f>IF(OR(tbl利用3[[#This Row],[利用日]]="",tbl利用3[[#This Row],[利用分数]]&lt;=0),"",N(tbl利用3[[#This Row],[割引前利用額]])/tbl利用3[[#This Row],[利用分数]]*60)</f>
        <v/>
      </c>
      <c r="BB40" s="45" t="str">
        <f>IF(tbl利用3[[#This Row],[利用区分]]="","",_xlfn.XLOOKUP(tbl利用3[[#This Row],[利用区分]],$AQ$4:$AQ$5,$AR$4:$AR$5,"区分未登録"))</f>
        <v/>
      </c>
      <c r="BC40" s="45" t="str">
        <f>IF(OR(tbl利用3[[#This Row],[通常時間単価]]="",NOT(ISNUMBER(tbl利用3[[#This Row],[上限単価]]))),"",MIN(tbl利用3[[#This Row],[通常時間単価]],tbl利用3[[#This Row],[上限単価]]))</f>
        <v/>
      </c>
      <c r="BD40" s="45" t="str">
        <f>IF(tbl利用3[[#This Row],[利用日]]="","",tbl利用3[[#This Row],[利用分数]]/60*tbl利用3[[#This Row],[基準単価]])</f>
        <v/>
      </c>
      <c r="BE40" s="69" t="str">
        <f>IF(OR(tbl利用3[[#This Row],[利用日]]="",tbl利用3[[#This Row],[利用区分]]=""),"",TEXT(tbl利用3[[#This Row],[利用日]],"yyyymmdd")&amp;"|"&amp;tbl利用3[[#This Row],[利用区分]])</f>
        <v/>
      </c>
      <c r="BF40" s="45" t="str">
        <f>IF(tbl利用3[[#This Row],[日別区分キー]]="","",SUMIFS(tbl利用3[明細実支出額],tbl利用3[日別区分キー],tbl利用3[[#This Row],[日別区分キー]]))</f>
        <v/>
      </c>
      <c r="BG40" s="45" t="str">
        <f>IF(tbl利用3[[#This Row],[日別区分キー]]="","",SUMIFS(tbl利用3[処理前明細基準額],tbl利用3[日別区分キー],tbl利用3[[#This Row],[日別区分キー]]))</f>
        <v/>
      </c>
      <c r="BH40" s="45" t="str">
        <f>IF(tbl利用3[[#This Row],[日別区分キー]]="","",ROUNDDOWN(MIN(tbl利用3[[#This Row],[日別区分実支出額]],tbl利用3[[#This Row],[日別区分処理前基準額]]),0))</f>
        <v/>
      </c>
      <c r="BI40" s="45" t="str">
        <f>IF(tbl利用3[[#This Row],[日別区分キー]]="","",MAX(0,tbl利用3[[#This Row],[日別区分処理前基準額]]-tbl利用3[[#This Row],[日別区分実支出額]]))</f>
        <v/>
      </c>
      <c r="BJ40" s="45">
        <f>IF(OR(tbl利用3[[#This Row],[利用日]]="",tbl利用3[[#This Row],[基準単価]]&lt;=0),0,MIN(tbl利用3[[#This Row],[利用分数]],ROUNDDOWN(tbl利用3[[#This Row],[日別区分余裕額]]/(tbl利用3[[#This Row],[基準単価]]/60),0)))</f>
        <v>0</v>
      </c>
      <c r="BK40" s="50"/>
      <c r="BL40" s="71" t="str">
        <f t="shared" si="2"/>
        <v/>
      </c>
      <c r="BM40" s="45" t="str">
        <f>IF(tbl利用3[[#This Row],[利用日]]="","",MAX(0,tbl利用3[[#This Row],[利用分数]]-N(tbl利用3[[#This Row],[切捨分数]])))</f>
        <v/>
      </c>
      <c r="BN40" s="45" t="str">
        <f>IF(tbl利用3[[#This Row],[利用日]]="","",tbl利用3[[#This Row],[処理後利用分数]]/60*tbl利用3[[#This Row],[基準単価]])</f>
        <v/>
      </c>
      <c r="BO40" s="45" t="str">
        <f>IF(tbl利用3[[#This Row],[日別区分キー]]="","",SUMIFS(tbl利用3[処理後明細基準額],tbl利用3[日別区分キー],tbl利用3[[#This Row],[日別区分キー]]))</f>
        <v/>
      </c>
      <c r="BP40" s="45" t="str">
        <f>IF(tbl利用3[[#This Row],[日別区分キー]]="","",ROUNDDOWN(MIN(tbl利用3[[#This Row],[日別区分実支出額]],tbl利用3[[#This Row],[日別区分処理後基準額]]),0))</f>
        <v/>
      </c>
      <c r="BQ40" s="45" t="str">
        <f>IF(tbl利用3[[#This Row],[日別区分キー]]="","",tbl利用3[[#This Row],[日別区分処理前補助額]]-tbl利用3[[#This Row],[日別区分補助額]])</f>
        <v/>
      </c>
      <c r="BR40" s="45" t="str">
        <f>IF(OR(tbl利用3[[#This Row],[日別区分キー]]="",tbl利用3[[#This Row],[処理後利用分数]]&lt;=0),"",ROUNDDOWN(MIN(tbl利用3[[#This Row],[日別区分実支出額]],tbl利用3[[#This Row],[日別区分処理後基準額]]-tbl利用3[[#This Row],[基準単価]]/60),0))</f>
        <v/>
      </c>
      <c r="BS40" s="52" t="str">
        <f>IF(tbl利用3[[#This Row],[次の1分切捨時補助額]]="","",tbl利用3[[#This Row],[日別区分補助額]]-tbl利用3[[#This Row],[次の1分切捨時補助額]])</f>
        <v/>
      </c>
      <c r="BT40" s="45" t="str">
        <f>IF(tbl利用3[[#This Row],[日別区分キー]]="","",--(COUNTIF(INDEX(tbl利用3[日別区分キー],1):tbl利用3[[#This Row],[日別区分キー]],tbl利用3[[#This Row],[日別区分キー]])=1))</f>
        <v/>
      </c>
      <c r="BU40" s="45" t="str">
        <f>IF(tbl利用3[[#This Row],[利用区分]]="","",SUMIFS(tbl利用3[利用分数],tbl利用3[利用区分],tbl利用3[[#This Row],[利用区分]]))</f>
        <v/>
      </c>
      <c r="BV40" s="45" t="str">
        <f>IF(tbl利用3[[#This Row],[利用区分]]="","",MOD(tbl利用3[[#This Row],[区分総利用分数]],60))</f>
        <v/>
      </c>
      <c r="BW40" s="45" t="str">
        <f>IF(tbl利用3[[#This Row],[利用区分]]="","",SUMIFS(tbl利用3[切捨分数],tbl利用3[利用区分],tbl利用3[[#This Row],[利用区分]]))</f>
        <v/>
      </c>
      <c r="BX40" s="45" t="str">
        <f>IF(tbl利用3[[#This Row],[利用区分]]="","",IF(tbl利用3[[#This Row],[区分必要切捨分数]]=tbl利用3[[#This Row],[区分入力切捨合計]],"OK","要確認"))</f>
        <v/>
      </c>
      <c r="BY40"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40" s="46"/>
    </row>
    <row r="41" spans="1:78" s="1" customFormat="1" ht="28.5" customHeight="1" x14ac:dyDescent="0.4">
      <c r="A41" s="19">
        <v>34</v>
      </c>
      <c r="B41" s="75"/>
      <c r="C41" s="76"/>
      <c r="D41" s="76"/>
      <c r="E41" s="76"/>
      <c r="F41" s="34"/>
      <c r="G41" s="13"/>
      <c r="H41" s="22" t="s">
        <v>8</v>
      </c>
      <c r="I41" s="14"/>
      <c r="J41" s="22" t="s">
        <v>9</v>
      </c>
      <c r="K41" s="14"/>
      <c r="L41" s="22" t="s">
        <v>8</v>
      </c>
      <c r="M41" s="14"/>
      <c r="N41" s="2" t="str">
        <f t="shared" si="3"/>
        <v/>
      </c>
      <c r="O41" s="22" t="s">
        <v>10</v>
      </c>
      <c r="P41" s="22" t="str">
        <f t="shared" si="17"/>
        <v/>
      </c>
      <c r="Q41" s="3" t="s">
        <v>11</v>
      </c>
      <c r="R41" s="79"/>
      <c r="S41" s="80"/>
      <c r="T41" s="4" t="s">
        <v>12</v>
      </c>
      <c r="U41" s="79"/>
      <c r="V41" s="80"/>
      <c r="W41" s="4" t="s">
        <v>12</v>
      </c>
      <c r="X41" s="80"/>
      <c r="Y41" s="81"/>
      <c r="Z41" s="4" t="s">
        <v>12</v>
      </c>
      <c r="AA41" s="15"/>
      <c r="AB41" s="5" t="str">
        <f t="shared" si="30"/>
        <v/>
      </c>
      <c r="AC41" s="20" t="s">
        <v>8</v>
      </c>
      <c r="AD41" s="6" t="str">
        <f t="shared" si="18"/>
        <v/>
      </c>
      <c r="AE41" s="20" t="s">
        <v>9</v>
      </c>
      <c r="AF41" s="6" t="str">
        <f t="shared" si="19"/>
        <v/>
      </c>
      <c r="AG41" s="20" t="s">
        <v>8</v>
      </c>
      <c r="AH41" s="6" t="str">
        <f t="shared" si="7"/>
        <v/>
      </c>
      <c r="AI41" s="7" t="str">
        <f t="shared" si="20"/>
        <v/>
      </c>
      <c r="AJ41" s="20" t="s">
        <v>10</v>
      </c>
      <c r="AK41" s="8" t="str">
        <f t="shared" si="9"/>
        <v/>
      </c>
      <c r="AL41" s="9" t="s">
        <v>11</v>
      </c>
      <c r="AM41" s="7" t="str">
        <f t="shared" si="10"/>
        <v/>
      </c>
      <c r="AN41" s="20" t="s">
        <v>10</v>
      </c>
      <c r="AO41" s="8" t="str">
        <f t="shared" si="11"/>
        <v/>
      </c>
      <c r="AP41" s="10" t="s">
        <v>11</v>
      </c>
      <c r="AQ41" s="15" t="str" cm="1">
        <f t="array" ref="AQ41">IF(tbl利用3[[#This Row],[利用日]]="","",ROW()-ROW(tbl利用3[#Headers]))</f>
        <v/>
      </c>
      <c r="AR41" s="32" t="str">
        <f t="shared" si="26"/>
        <v/>
      </c>
      <c r="AS41" s="15"/>
      <c r="AT41" s="43" t="str">
        <f t="shared" si="27"/>
        <v/>
      </c>
      <c r="AU41" s="1" t="str">
        <f t="shared" si="28"/>
        <v/>
      </c>
      <c r="AV41" s="1" t="str">
        <f t="shared" si="29"/>
        <v/>
      </c>
      <c r="AW41" s="1" t="str">
        <f>IF(tbl利用3[[#This Row],[利用日]]="","",N(tbl利用3[[#This Row],[利用時間_時]])*60+N(tbl利用3[[#This Row],[利用時間_分]]))</f>
        <v/>
      </c>
      <c r="AX41" s="44" t="str">
        <f t="shared" si="16"/>
        <v/>
      </c>
      <c r="AY41" s="44" t="str">
        <f t="shared" si="1"/>
        <v/>
      </c>
      <c r="AZ41" s="45" t="str">
        <f>IF(tbl利用3[[#This Row],[利用日]]="","",MAX(0,N(tbl利用3[[#This Row],[割引前利用額]])-N(tbl利用3[[#This Row],[割引額]])))</f>
        <v/>
      </c>
      <c r="BA41" s="45" t="str">
        <f>IF(OR(tbl利用3[[#This Row],[利用日]]="",tbl利用3[[#This Row],[利用分数]]&lt;=0),"",N(tbl利用3[[#This Row],[割引前利用額]])/tbl利用3[[#This Row],[利用分数]]*60)</f>
        <v/>
      </c>
      <c r="BB41" s="45" t="str">
        <f>IF(tbl利用3[[#This Row],[利用区分]]="","",_xlfn.XLOOKUP(tbl利用3[[#This Row],[利用区分]],$AQ$4:$AQ$5,$AR$4:$AR$5,"区分未登録"))</f>
        <v/>
      </c>
      <c r="BC41" s="45" t="str">
        <f>IF(OR(tbl利用3[[#This Row],[通常時間単価]]="",NOT(ISNUMBER(tbl利用3[[#This Row],[上限単価]]))),"",MIN(tbl利用3[[#This Row],[通常時間単価]],tbl利用3[[#This Row],[上限単価]]))</f>
        <v/>
      </c>
      <c r="BD41" s="45" t="str">
        <f>IF(tbl利用3[[#This Row],[利用日]]="","",tbl利用3[[#This Row],[利用分数]]/60*tbl利用3[[#This Row],[基準単価]])</f>
        <v/>
      </c>
      <c r="BE41" s="69" t="str">
        <f>IF(OR(tbl利用3[[#This Row],[利用日]]="",tbl利用3[[#This Row],[利用区分]]=""),"",TEXT(tbl利用3[[#This Row],[利用日]],"yyyymmdd")&amp;"|"&amp;tbl利用3[[#This Row],[利用区分]])</f>
        <v/>
      </c>
      <c r="BF41" s="45" t="str">
        <f>IF(tbl利用3[[#This Row],[日別区分キー]]="","",SUMIFS(tbl利用3[明細実支出額],tbl利用3[日別区分キー],tbl利用3[[#This Row],[日別区分キー]]))</f>
        <v/>
      </c>
      <c r="BG41" s="45" t="str">
        <f>IF(tbl利用3[[#This Row],[日別区分キー]]="","",SUMIFS(tbl利用3[処理前明細基準額],tbl利用3[日別区分キー],tbl利用3[[#This Row],[日別区分キー]]))</f>
        <v/>
      </c>
      <c r="BH41" s="45" t="str">
        <f>IF(tbl利用3[[#This Row],[日別区分キー]]="","",ROUNDDOWN(MIN(tbl利用3[[#This Row],[日別区分実支出額]],tbl利用3[[#This Row],[日別区分処理前基準額]]),0))</f>
        <v/>
      </c>
      <c r="BI41" s="45" t="str">
        <f>IF(tbl利用3[[#This Row],[日別区分キー]]="","",MAX(0,tbl利用3[[#This Row],[日別区分処理前基準額]]-tbl利用3[[#This Row],[日別区分実支出額]]))</f>
        <v/>
      </c>
      <c r="BJ41" s="45">
        <f>IF(OR(tbl利用3[[#This Row],[利用日]]="",tbl利用3[[#This Row],[基準単価]]&lt;=0),0,MIN(tbl利用3[[#This Row],[利用分数]],ROUNDDOWN(tbl利用3[[#This Row],[日別区分余裕額]]/(tbl利用3[[#This Row],[基準単価]]/60),0)))</f>
        <v>0</v>
      </c>
      <c r="BK41" s="50"/>
      <c r="BL41" s="71" t="str">
        <f t="shared" si="2"/>
        <v/>
      </c>
      <c r="BM41" s="45" t="str">
        <f>IF(tbl利用3[[#This Row],[利用日]]="","",MAX(0,tbl利用3[[#This Row],[利用分数]]-N(tbl利用3[[#This Row],[切捨分数]])))</f>
        <v/>
      </c>
      <c r="BN41" s="45" t="str">
        <f>IF(tbl利用3[[#This Row],[利用日]]="","",tbl利用3[[#This Row],[処理後利用分数]]/60*tbl利用3[[#This Row],[基準単価]])</f>
        <v/>
      </c>
      <c r="BO41" s="45" t="str">
        <f>IF(tbl利用3[[#This Row],[日別区分キー]]="","",SUMIFS(tbl利用3[処理後明細基準額],tbl利用3[日別区分キー],tbl利用3[[#This Row],[日別区分キー]]))</f>
        <v/>
      </c>
      <c r="BP41" s="45" t="str">
        <f>IF(tbl利用3[[#This Row],[日別区分キー]]="","",ROUNDDOWN(MIN(tbl利用3[[#This Row],[日別区分実支出額]],tbl利用3[[#This Row],[日別区分処理後基準額]]),0))</f>
        <v/>
      </c>
      <c r="BQ41" s="45" t="str">
        <f>IF(tbl利用3[[#This Row],[日別区分キー]]="","",tbl利用3[[#This Row],[日別区分処理前補助額]]-tbl利用3[[#This Row],[日別区分補助額]])</f>
        <v/>
      </c>
      <c r="BR41" s="45" t="str">
        <f>IF(OR(tbl利用3[[#This Row],[日別区分キー]]="",tbl利用3[[#This Row],[処理後利用分数]]&lt;=0),"",ROUNDDOWN(MIN(tbl利用3[[#This Row],[日別区分実支出額]],tbl利用3[[#This Row],[日別区分処理後基準額]]-tbl利用3[[#This Row],[基準単価]]/60),0))</f>
        <v/>
      </c>
      <c r="BS41" s="52" t="str">
        <f>IF(tbl利用3[[#This Row],[次の1分切捨時補助額]]="","",tbl利用3[[#This Row],[日別区分補助額]]-tbl利用3[[#This Row],[次の1分切捨時補助額]])</f>
        <v/>
      </c>
      <c r="BT41" s="45" t="str">
        <f>IF(tbl利用3[[#This Row],[日別区分キー]]="","",--(COUNTIF(INDEX(tbl利用3[日別区分キー],1):tbl利用3[[#This Row],[日別区分キー]],tbl利用3[[#This Row],[日別区分キー]])=1))</f>
        <v/>
      </c>
      <c r="BU41" s="45" t="str">
        <f>IF(tbl利用3[[#This Row],[利用区分]]="","",SUMIFS(tbl利用3[利用分数],tbl利用3[利用区分],tbl利用3[[#This Row],[利用区分]]))</f>
        <v/>
      </c>
      <c r="BV41" s="45" t="str">
        <f>IF(tbl利用3[[#This Row],[利用区分]]="","",MOD(tbl利用3[[#This Row],[区分総利用分数]],60))</f>
        <v/>
      </c>
      <c r="BW41" s="45" t="str">
        <f>IF(tbl利用3[[#This Row],[利用区分]]="","",SUMIFS(tbl利用3[切捨分数],tbl利用3[利用区分],tbl利用3[[#This Row],[利用区分]]))</f>
        <v/>
      </c>
      <c r="BX41" s="45" t="str">
        <f>IF(tbl利用3[[#This Row],[利用区分]]="","",IF(tbl利用3[[#This Row],[区分必要切捨分数]]=tbl利用3[[#This Row],[区分入力切捨合計]],"OK","要確認"))</f>
        <v/>
      </c>
      <c r="BY41"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41" s="46"/>
    </row>
    <row r="42" spans="1:78" s="1" customFormat="1" ht="28.5" customHeight="1" x14ac:dyDescent="0.4">
      <c r="A42" s="19">
        <v>35</v>
      </c>
      <c r="B42" s="75"/>
      <c r="C42" s="76"/>
      <c r="D42" s="76"/>
      <c r="E42" s="76"/>
      <c r="F42" s="34"/>
      <c r="G42" s="13"/>
      <c r="H42" s="22" t="s">
        <v>8</v>
      </c>
      <c r="I42" s="14"/>
      <c r="J42" s="22" t="s">
        <v>9</v>
      </c>
      <c r="K42" s="14"/>
      <c r="L42" s="22" t="s">
        <v>8</v>
      </c>
      <c r="M42" s="14"/>
      <c r="N42" s="2" t="str">
        <f t="shared" si="3"/>
        <v/>
      </c>
      <c r="O42" s="22" t="s">
        <v>10</v>
      </c>
      <c r="P42" s="22" t="str">
        <f t="shared" si="17"/>
        <v/>
      </c>
      <c r="Q42" s="3" t="s">
        <v>11</v>
      </c>
      <c r="R42" s="79"/>
      <c r="S42" s="80"/>
      <c r="T42" s="4" t="s">
        <v>12</v>
      </c>
      <c r="U42" s="79"/>
      <c r="V42" s="80"/>
      <c r="W42" s="4" t="s">
        <v>12</v>
      </c>
      <c r="X42" s="80"/>
      <c r="Y42" s="81"/>
      <c r="Z42" s="4" t="s">
        <v>12</v>
      </c>
      <c r="AA42" s="15"/>
      <c r="AB42" s="5" t="str">
        <f t="shared" si="30"/>
        <v/>
      </c>
      <c r="AC42" s="20" t="s">
        <v>8</v>
      </c>
      <c r="AD42" s="6" t="str">
        <f t="shared" si="18"/>
        <v/>
      </c>
      <c r="AE42" s="20" t="s">
        <v>9</v>
      </c>
      <c r="AF42" s="6" t="str">
        <f t="shared" si="19"/>
        <v/>
      </c>
      <c r="AG42" s="20" t="s">
        <v>8</v>
      </c>
      <c r="AH42" s="6" t="str">
        <f t="shared" si="7"/>
        <v/>
      </c>
      <c r="AI42" s="7" t="str">
        <f t="shared" si="20"/>
        <v/>
      </c>
      <c r="AJ42" s="20" t="s">
        <v>10</v>
      </c>
      <c r="AK42" s="8" t="str">
        <f t="shared" si="9"/>
        <v/>
      </c>
      <c r="AL42" s="9" t="s">
        <v>11</v>
      </c>
      <c r="AM42" s="7" t="str">
        <f t="shared" si="10"/>
        <v/>
      </c>
      <c r="AN42" s="20" t="s">
        <v>10</v>
      </c>
      <c r="AO42" s="8" t="str">
        <f t="shared" si="11"/>
        <v/>
      </c>
      <c r="AP42" s="10" t="s">
        <v>11</v>
      </c>
      <c r="AQ42" s="15" t="str" cm="1">
        <f t="array" ref="AQ42">IF(tbl利用3[[#This Row],[利用日]]="","",ROW()-ROW(tbl利用3[#Headers]))</f>
        <v/>
      </c>
      <c r="AR42" s="32" t="str">
        <f t="shared" si="26"/>
        <v/>
      </c>
      <c r="AS42" s="15"/>
      <c r="AT42" s="43" t="str">
        <f t="shared" si="27"/>
        <v/>
      </c>
      <c r="AU42" s="1" t="str">
        <f t="shared" si="28"/>
        <v/>
      </c>
      <c r="AV42" s="1" t="str">
        <f t="shared" si="29"/>
        <v/>
      </c>
      <c r="AW42" s="1" t="str">
        <f>IF(tbl利用3[[#This Row],[利用日]]="","",N(tbl利用3[[#This Row],[利用時間_時]])*60+N(tbl利用3[[#This Row],[利用時間_分]]))</f>
        <v/>
      </c>
      <c r="AX42" s="44" t="str">
        <f t="shared" si="16"/>
        <v/>
      </c>
      <c r="AY42" s="44" t="str">
        <f t="shared" si="1"/>
        <v/>
      </c>
      <c r="AZ42" s="45" t="str">
        <f>IF(tbl利用3[[#This Row],[利用日]]="","",MAX(0,N(tbl利用3[[#This Row],[割引前利用額]])-N(tbl利用3[[#This Row],[割引額]])))</f>
        <v/>
      </c>
      <c r="BA42" s="45" t="str">
        <f>IF(OR(tbl利用3[[#This Row],[利用日]]="",tbl利用3[[#This Row],[利用分数]]&lt;=0),"",N(tbl利用3[[#This Row],[割引前利用額]])/tbl利用3[[#This Row],[利用分数]]*60)</f>
        <v/>
      </c>
      <c r="BB42" s="45" t="str">
        <f>IF(tbl利用3[[#This Row],[利用区分]]="","",_xlfn.XLOOKUP(tbl利用3[[#This Row],[利用区分]],$AQ$4:$AQ$5,$AR$4:$AR$5,"区分未登録"))</f>
        <v/>
      </c>
      <c r="BC42" s="45" t="str">
        <f>IF(OR(tbl利用3[[#This Row],[通常時間単価]]="",NOT(ISNUMBER(tbl利用3[[#This Row],[上限単価]]))),"",MIN(tbl利用3[[#This Row],[通常時間単価]],tbl利用3[[#This Row],[上限単価]]))</f>
        <v/>
      </c>
      <c r="BD42" s="45" t="str">
        <f>IF(tbl利用3[[#This Row],[利用日]]="","",tbl利用3[[#This Row],[利用分数]]/60*tbl利用3[[#This Row],[基準単価]])</f>
        <v/>
      </c>
      <c r="BE42" s="69" t="str">
        <f>IF(OR(tbl利用3[[#This Row],[利用日]]="",tbl利用3[[#This Row],[利用区分]]=""),"",TEXT(tbl利用3[[#This Row],[利用日]],"yyyymmdd")&amp;"|"&amp;tbl利用3[[#This Row],[利用区分]])</f>
        <v/>
      </c>
      <c r="BF42" s="45" t="str">
        <f>IF(tbl利用3[[#This Row],[日別区分キー]]="","",SUMIFS(tbl利用3[明細実支出額],tbl利用3[日別区分キー],tbl利用3[[#This Row],[日別区分キー]]))</f>
        <v/>
      </c>
      <c r="BG42" s="45" t="str">
        <f>IF(tbl利用3[[#This Row],[日別区分キー]]="","",SUMIFS(tbl利用3[処理前明細基準額],tbl利用3[日別区分キー],tbl利用3[[#This Row],[日別区分キー]]))</f>
        <v/>
      </c>
      <c r="BH42" s="45" t="str">
        <f>IF(tbl利用3[[#This Row],[日別区分キー]]="","",ROUNDDOWN(MIN(tbl利用3[[#This Row],[日別区分実支出額]],tbl利用3[[#This Row],[日別区分処理前基準額]]),0))</f>
        <v/>
      </c>
      <c r="BI42" s="45" t="str">
        <f>IF(tbl利用3[[#This Row],[日別区分キー]]="","",MAX(0,tbl利用3[[#This Row],[日別区分処理前基準額]]-tbl利用3[[#This Row],[日別区分実支出額]]))</f>
        <v/>
      </c>
      <c r="BJ42" s="45">
        <f>IF(OR(tbl利用3[[#This Row],[利用日]]="",tbl利用3[[#This Row],[基準単価]]&lt;=0),0,MIN(tbl利用3[[#This Row],[利用分数]],ROUNDDOWN(tbl利用3[[#This Row],[日別区分余裕額]]/(tbl利用3[[#This Row],[基準単価]]/60),0)))</f>
        <v>0</v>
      </c>
      <c r="BK42" s="50"/>
      <c r="BL42" s="71" t="str">
        <f t="shared" si="2"/>
        <v/>
      </c>
      <c r="BM42" s="45" t="str">
        <f>IF(tbl利用3[[#This Row],[利用日]]="","",MAX(0,tbl利用3[[#This Row],[利用分数]]-N(tbl利用3[[#This Row],[切捨分数]])))</f>
        <v/>
      </c>
      <c r="BN42" s="45" t="str">
        <f>IF(tbl利用3[[#This Row],[利用日]]="","",tbl利用3[[#This Row],[処理後利用分数]]/60*tbl利用3[[#This Row],[基準単価]])</f>
        <v/>
      </c>
      <c r="BO42" s="45" t="str">
        <f>IF(tbl利用3[[#This Row],[日別区分キー]]="","",SUMIFS(tbl利用3[処理後明細基準額],tbl利用3[日別区分キー],tbl利用3[[#This Row],[日別区分キー]]))</f>
        <v/>
      </c>
      <c r="BP42" s="45" t="str">
        <f>IF(tbl利用3[[#This Row],[日別区分キー]]="","",ROUNDDOWN(MIN(tbl利用3[[#This Row],[日別区分実支出額]],tbl利用3[[#This Row],[日別区分処理後基準額]]),0))</f>
        <v/>
      </c>
      <c r="BQ42" s="45" t="str">
        <f>IF(tbl利用3[[#This Row],[日別区分キー]]="","",tbl利用3[[#This Row],[日別区分処理前補助額]]-tbl利用3[[#This Row],[日別区分補助額]])</f>
        <v/>
      </c>
      <c r="BR42" s="45" t="str">
        <f>IF(OR(tbl利用3[[#This Row],[日別区分キー]]="",tbl利用3[[#This Row],[処理後利用分数]]&lt;=0),"",ROUNDDOWN(MIN(tbl利用3[[#This Row],[日別区分実支出額]],tbl利用3[[#This Row],[日別区分処理後基準額]]-tbl利用3[[#This Row],[基準単価]]/60),0))</f>
        <v/>
      </c>
      <c r="BS42" s="52" t="str">
        <f>IF(tbl利用3[[#This Row],[次の1分切捨時補助額]]="","",tbl利用3[[#This Row],[日別区分補助額]]-tbl利用3[[#This Row],[次の1分切捨時補助額]])</f>
        <v/>
      </c>
      <c r="BT42" s="45" t="str">
        <f>IF(tbl利用3[[#This Row],[日別区分キー]]="","",--(COUNTIF(INDEX(tbl利用3[日別区分キー],1):tbl利用3[[#This Row],[日別区分キー]],tbl利用3[[#This Row],[日別区分キー]])=1))</f>
        <v/>
      </c>
      <c r="BU42" s="45" t="str">
        <f>IF(tbl利用3[[#This Row],[利用区分]]="","",SUMIFS(tbl利用3[利用分数],tbl利用3[利用区分],tbl利用3[[#This Row],[利用区分]]))</f>
        <v/>
      </c>
      <c r="BV42" s="45" t="str">
        <f>IF(tbl利用3[[#This Row],[利用区分]]="","",MOD(tbl利用3[[#This Row],[区分総利用分数]],60))</f>
        <v/>
      </c>
      <c r="BW42" s="45" t="str">
        <f>IF(tbl利用3[[#This Row],[利用区分]]="","",SUMIFS(tbl利用3[切捨分数],tbl利用3[利用区分],tbl利用3[[#This Row],[利用区分]]))</f>
        <v/>
      </c>
      <c r="BX42" s="45" t="str">
        <f>IF(tbl利用3[[#This Row],[利用区分]]="","",IF(tbl利用3[[#This Row],[区分必要切捨分数]]=tbl利用3[[#This Row],[区分入力切捨合計]],"OK","要確認"))</f>
        <v/>
      </c>
      <c r="BY42" s="66" t="str">
        <f>_xlfn.TEXTJOIN("／",TRUE,IF(tbl利用3[[#This Row],[利用日]]="","利用日なし",""),IF(tbl利用3[[#This Row],[利用区分]]="","利用区分なし",""),IF(AND(tbl利用3[[#This Row],[利用区分]]&lt;&gt;"",COUNTIF($AQ$4:$AQ$5,tbl利用3[[#This Row],[利用区分]])=0),"利用区分未登録",""),IF(N(tbl利用3[[#This Row],[利用分数]])&lt;=0,"利用時間要確認",""),IF(OR(N(tbl利用3[[#This Row],[利用時間_分]])&lt;0,N(tbl利用3[[#This Row],[利用時間_分]])&gt;=60),"分は0～59",""),IF(N(tbl利用3[[#This Row],[割引前利用額]])&lt;0,"利用額が負数",""),IF(N(tbl利用3[[#This Row],[割引額]])&lt;0,"割引額が負数",""),IF(N(tbl利用3[[#This Row],[割引額]])&gt;N(tbl利用3[[#This Row],[割引前利用額]]),"割引額超過",""),IF(N(tbl利用3[[#This Row],[切捨分数]])&lt;0,"切捨分数が負数",""),IF(N(tbl利用3[[#This Row],[切捨分数]])&gt;N(tbl利用3[[#This Row],[利用分数]]),"切捨分数超過",""),IF(tbl利用3[[#This Row],[区分端数処理判定]]&lt;&gt;"OK","区分切捨合計不一致",""))</f>
        <v>利用日なし／利用区分なし／利用時間要確認／区分切捨合計不一致</v>
      </c>
      <c r="BZ42" s="46"/>
    </row>
    <row r="43" spans="1:78" s="1" customFormat="1" ht="16.5" customHeight="1" x14ac:dyDescent="0.4">
      <c r="B43" s="39"/>
      <c r="C43" s="39"/>
      <c r="D43" s="39"/>
      <c r="E43" s="39"/>
      <c r="F43" s="39"/>
      <c r="G43" s="39"/>
      <c r="H43" s="39"/>
      <c r="I43" s="40"/>
      <c r="J43" s="39"/>
      <c r="K43" s="39"/>
      <c r="L43" s="39"/>
      <c r="M43" s="39"/>
      <c r="N43" s="39"/>
      <c r="O43" s="39"/>
      <c r="P43" s="39"/>
      <c r="Q43" s="39"/>
      <c r="R43" s="39"/>
      <c r="S43" s="39"/>
      <c r="T43" s="39"/>
      <c r="U43" s="39"/>
      <c r="V43" s="39"/>
      <c r="W43" s="39"/>
      <c r="X43" s="39"/>
      <c r="Y43" s="39"/>
      <c r="Z43" s="39"/>
      <c r="AA43" s="15"/>
      <c r="AB43" s="15"/>
      <c r="AC43" s="15"/>
      <c r="AD43" s="15"/>
      <c r="AE43" s="15"/>
      <c r="AF43" s="15"/>
      <c r="AG43" s="15"/>
      <c r="AH43" s="15"/>
      <c r="AI43" s="15"/>
      <c r="AJ43" s="15"/>
      <c r="AK43" s="15"/>
      <c r="AL43" s="15"/>
      <c r="AM43" s="15"/>
      <c r="AN43" s="15"/>
      <c r="AO43" s="15"/>
      <c r="AQ43" s="15"/>
      <c r="AR43" s="15"/>
      <c r="AS43" s="15"/>
      <c r="BX43" s="42"/>
    </row>
    <row r="44" spans="1:78" s="1" customFormat="1" ht="18" customHeight="1" x14ac:dyDescent="0.4">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5"/>
      <c r="AB44" s="11">
        <f>SUM(P8:P42)/24/60</f>
        <v>5.2083333333333336E-2</v>
      </c>
      <c r="AC44" s="41">
        <f>HOUR(AB44)</f>
        <v>1</v>
      </c>
      <c r="AD44" s="41">
        <f>MINUTE(AB44)</f>
        <v>15</v>
      </c>
      <c r="AE44" s="11">
        <f>SUM(AK8:AK42)/24/60</f>
        <v>2.0833333333333332E-2</v>
      </c>
      <c r="AF44" s="41">
        <f>HOUR(AE44)</f>
        <v>0</v>
      </c>
      <c r="AG44" s="41">
        <f>MINUTE(AE44)</f>
        <v>30</v>
      </c>
      <c r="AH44" s="15"/>
      <c r="AI44" s="7">
        <f>SUM(AI8:AI42)+AF44</f>
        <v>24</v>
      </c>
      <c r="AJ44" s="20" t="s">
        <v>10</v>
      </c>
      <c r="AK44" s="8">
        <f>AG44</f>
        <v>30</v>
      </c>
      <c r="AL44" s="9" t="s">
        <v>11</v>
      </c>
      <c r="AM44" s="7">
        <f>IF(AI44="",N47,IFERROR(IF(P47-AK44&lt;0,N47-AI44-1,N47-AI44),""))</f>
        <v>2</v>
      </c>
      <c r="AN44" s="20" t="s">
        <v>10</v>
      </c>
      <c r="AO44" s="8">
        <f>IF(AK44="",P47,IFERROR(IF(P47-AK44&lt;0,P47-AK44+60,P47-AK44),""))</f>
        <v>45</v>
      </c>
      <c r="AP44" s="10" t="s">
        <v>11</v>
      </c>
      <c r="AQ44" s="15"/>
      <c r="AR44" s="21" t="s">
        <v>13</v>
      </c>
      <c r="AS44" s="21" t="s">
        <v>14</v>
      </c>
      <c r="AT44" s="19" t="s">
        <v>15</v>
      </c>
      <c r="AU44" s="19" t="s">
        <v>16</v>
      </c>
      <c r="AV44" s="19" t="s">
        <v>17</v>
      </c>
      <c r="BX44" s="42"/>
    </row>
    <row r="45" spans="1:78" s="1" customFormat="1" x14ac:dyDescent="0.4">
      <c r="B45" s="110"/>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5"/>
      <c r="AB45" s="15"/>
      <c r="AC45" s="15"/>
      <c r="AD45" s="15"/>
      <c r="AE45" s="15"/>
      <c r="AF45" s="15"/>
      <c r="AG45" s="15"/>
      <c r="AH45" s="15"/>
      <c r="AI45" s="15"/>
      <c r="AJ45" s="15"/>
      <c r="AK45" s="15"/>
      <c r="AL45" s="15"/>
      <c r="AM45" s="15"/>
      <c r="AN45" s="15"/>
      <c r="AO45" s="15"/>
      <c r="AQ45" s="15"/>
      <c r="AR45" s="27">
        <f>K48</f>
        <v>27</v>
      </c>
      <c r="AS45" s="27">
        <f>V48</f>
        <v>2</v>
      </c>
      <c r="AT45" s="28">
        <f>I49</f>
        <v>67000</v>
      </c>
      <c r="AU45" s="28" t="str">
        <f>W49</f>
        <v/>
      </c>
      <c r="AV45" s="28" t="str">
        <f>W49</f>
        <v/>
      </c>
      <c r="BX45" s="42"/>
    </row>
    <row r="46" spans="1:78" s="1" customFormat="1" ht="24.95" customHeight="1" x14ac:dyDescent="0.4">
      <c r="B46" s="111" t="s">
        <v>31</v>
      </c>
      <c r="C46" s="112"/>
      <c r="D46" s="113"/>
      <c r="E46" s="93" t="s">
        <v>18</v>
      </c>
      <c r="F46" s="94"/>
      <c r="G46" s="94"/>
      <c r="H46" s="94"/>
      <c r="I46" s="94"/>
      <c r="J46" s="94"/>
      <c r="K46" s="94"/>
      <c r="L46" s="94"/>
      <c r="M46" s="95"/>
      <c r="N46" s="99" t="s">
        <v>1</v>
      </c>
      <c r="O46" s="100"/>
      <c r="P46" s="100"/>
      <c r="Q46" s="100"/>
      <c r="R46" s="101" t="s">
        <v>2</v>
      </c>
      <c r="S46" s="101"/>
      <c r="T46" s="101"/>
      <c r="U46" s="102" t="s">
        <v>3</v>
      </c>
      <c r="V46" s="103"/>
      <c r="W46" s="103"/>
      <c r="X46" s="102" t="s">
        <v>4</v>
      </c>
      <c r="Y46" s="103"/>
      <c r="Z46" s="103"/>
      <c r="AA46" s="15"/>
      <c r="AB46" s="15"/>
      <c r="AC46" s="15"/>
      <c r="AD46" s="15"/>
      <c r="AE46" s="15"/>
      <c r="AF46" s="15"/>
      <c r="AG46" s="15"/>
      <c r="AH46" s="15"/>
      <c r="AI46" s="15"/>
      <c r="AJ46" s="15"/>
      <c r="AK46" s="82" t="s">
        <v>19</v>
      </c>
      <c r="AL46" s="83"/>
      <c r="AM46" s="21">
        <f>AM44</f>
        <v>2</v>
      </c>
      <c r="AN46" s="15"/>
      <c r="AO46" s="15"/>
      <c r="AQ46" s="15"/>
      <c r="AR46" s="29"/>
      <c r="AS46" s="29"/>
      <c r="AT46" s="30"/>
      <c r="AU46" s="30"/>
      <c r="AV46" s="30"/>
      <c r="BX46" s="42"/>
    </row>
    <row r="47" spans="1:78" s="1" customFormat="1" ht="24.95" customHeight="1" x14ac:dyDescent="0.4">
      <c r="B47" s="114"/>
      <c r="C47" s="115"/>
      <c r="D47" s="116"/>
      <c r="E47" s="96"/>
      <c r="F47" s="97"/>
      <c r="G47" s="97"/>
      <c r="H47" s="97"/>
      <c r="I47" s="97"/>
      <c r="J47" s="97"/>
      <c r="K47" s="97"/>
      <c r="L47" s="97"/>
      <c r="M47" s="98"/>
      <c r="N47" s="16">
        <f>IFERROR(SUM(N8:N42)+AC44,"")</f>
        <v>27</v>
      </c>
      <c r="O47" s="17" t="s">
        <v>10</v>
      </c>
      <c r="P47" s="17">
        <f>IFERROR(AD44,"")</f>
        <v>15</v>
      </c>
      <c r="Q47" s="18" t="s">
        <v>11</v>
      </c>
      <c r="R47" s="135">
        <f>IFERROR(SUM(R8:S42),"")</f>
        <v>73650</v>
      </c>
      <c r="S47" s="136"/>
      <c r="T47" s="72" t="s">
        <v>12</v>
      </c>
      <c r="U47" s="135">
        <f>IFERROR(SUM(U8:V42),"")</f>
        <v>10310</v>
      </c>
      <c r="V47" s="137"/>
      <c r="W47" s="73" t="s">
        <v>12</v>
      </c>
      <c r="X47" s="138">
        <f>IFERROR(SUM(X8:Y42),"")</f>
        <v>3500</v>
      </c>
      <c r="Y47" s="137"/>
      <c r="Z47" s="73" t="s">
        <v>12</v>
      </c>
      <c r="AB47" s="15"/>
      <c r="AD47" s="15"/>
      <c r="AF47" s="15"/>
      <c r="AH47" s="15"/>
      <c r="AI47" s="12"/>
      <c r="AK47" s="12"/>
      <c r="AM47" s="15"/>
      <c r="AO47" s="12"/>
      <c r="AQ47" s="15"/>
      <c r="AR47" s="15"/>
      <c r="AS47" s="15"/>
      <c r="BX47" s="42"/>
    </row>
    <row r="48" spans="1:78" s="1" customFormat="1" ht="24.95" customHeight="1" x14ac:dyDescent="0.4">
      <c r="B48" s="114"/>
      <c r="C48" s="115"/>
      <c r="D48" s="116"/>
      <c r="E48" s="88" t="s">
        <v>27</v>
      </c>
      <c r="F48" s="88"/>
      <c r="G48" s="88"/>
      <c r="H48" s="88"/>
      <c r="I48" s="88"/>
      <c r="J48" s="88"/>
      <c r="K48" s="89">
        <f>N47</f>
        <v>27</v>
      </c>
      <c r="L48" s="90"/>
      <c r="M48" s="90"/>
      <c r="N48" s="90" t="s">
        <v>20</v>
      </c>
      <c r="O48" s="91"/>
      <c r="P48" s="92" t="s">
        <v>21</v>
      </c>
      <c r="Q48" s="92"/>
      <c r="R48" s="92"/>
      <c r="S48" s="92"/>
      <c r="T48" s="92"/>
      <c r="U48" s="89"/>
      <c r="V48" s="89">
        <f>AM44</f>
        <v>2</v>
      </c>
      <c r="W48" s="90"/>
      <c r="X48" s="90"/>
      <c r="Y48" s="90" t="s">
        <v>20</v>
      </c>
      <c r="Z48" s="91"/>
      <c r="AA48" s="42"/>
      <c r="AB48" s="15"/>
      <c r="AC48" s="42"/>
      <c r="AD48" s="15"/>
      <c r="AE48" s="42"/>
      <c r="AF48" s="15"/>
      <c r="AG48" s="42"/>
      <c r="AH48" s="15"/>
      <c r="AI48" s="15"/>
      <c r="AJ48" s="42"/>
      <c r="AK48" s="15"/>
      <c r="AL48" s="42"/>
      <c r="AM48" s="15"/>
      <c r="AN48" s="42"/>
      <c r="AO48" s="15"/>
      <c r="AQ48" s="15"/>
      <c r="AR48" s="15"/>
      <c r="AS48" s="15"/>
      <c r="BX48" s="42"/>
    </row>
    <row r="49" spans="2:76" s="1" customFormat="1" ht="24.95" customHeight="1" x14ac:dyDescent="0.4">
      <c r="B49" s="117"/>
      <c r="C49" s="118"/>
      <c r="D49" s="119"/>
      <c r="E49" s="92" t="s">
        <v>92</v>
      </c>
      <c r="F49" s="92"/>
      <c r="G49" s="92"/>
      <c r="H49" s="92"/>
      <c r="I49" s="139">
        <f>IFERROR(MIN(R47-X47,(AI44*2500)+(AM44*3500)),"")</f>
        <v>67000</v>
      </c>
      <c r="J49" s="140"/>
      <c r="K49" s="140"/>
      <c r="L49" s="140"/>
      <c r="M49" s="89" t="s">
        <v>22</v>
      </c>
      <c r="N49" s="90"/>
      <c r="O49" s="90"/>
      <c r="P49" s="141">
        <f>BM3</f>
        <v>63150</v>
      </c>
      <c r="Q49" s="141"/>
      <c r="R49" s="141"/>
      <c r="S49" s="141"/>
      <c r="T49" s="107" t="str">
        <f>IF(BI5="OK","","利用区分１未確認")</f>
        <v/>
      </c>
      <c r="U49" s="107"/>
      <c r="V49" s="107"/>
      <c r="W49" s="108" t="str">
        <f>IF(BK5="OK","","利用区分２未確認")</f>
        <v/>
      </c>
      <c r="X49" s="108"/>
      <c r="Y49" s="108"/>
      <c r="Z49" s="108"/>
      <c r="AA49" s="42"/>
      <c r="AB49" s="42"/>
      <c r="AC49" s="42"/>
      <c r="AD49" s="42"/>
      <c r="AE49" s="42"/>
      <c r="AF49" s="42"/>
      <c r="AG49" s="42"/>
      <c r="AH49" s="42"/>
      <c r="AI49" s="42"/>
      <c r="AJ49" s="42"/>
      <c r="AK49" s="42"/>
      <c r="AL49" s="42"/>
      <c r="AM49" s="42"/>
      <c r="AN49" s="42"/>
      <c r="AO49" s="42"/>
      <c r="AQ49" s="15"/>
      <c r="AR49" s="15"/>
      <c r="AS49" s="15"/>
      <c r="BX49" s="42"/>
    </row>
    <row r="50" spans="2:76" x14ac:dyDescent="0.4">
      <c r="B50" s="39" t="s">
        <v>33</v>
      </c>
    </row>
    <row r="51" spans="2:76" x14ac:dyDescent="0.4">
      <c r="B51" s="39" t="s">
        <v>29</v>
      </c>
    </row>
    <row r="52" spans="2:76" x14ac:dyDescent="0.4">
      <c r="B52" s="39" t="s">
        <v>30</v>
      </c>
    </row>
    <row r="53" spans="2:76" x14ac:dyDescent="0.4">
      <c r="B53" s="39" t="s">
        <v>28</v>
      </c>
    </row>
  </sheetData>
  <sheetProtection sheet="1" objects="1" scenarios="1"/>
  <mergeCells count="180">
    <mergeCell ref="B3:E3"/>
    <mergeCell ref="G3:Q3"/>
    <mergeCell ref="R3:T3"/>
    <mergeCell ref="U3:W3"/>
    <mergeCell ref="B4:Z4"/>
    <mergeCell ref="B5:Z5"/>
    <mergeCell ref="AI7:AL7"/>
    <mergeCell ref="AM7:AP7"/>
    <mergeCell ref="B8:E8"/>
    <mergeCell ref="R8:S8"/>
    <mergeCell ref="U8:V8"/>
    <mergeCell ref="X8:Y8"/>
    <mergeCell ref="B6:Z6"/>
    <mergeCell ref="B7:E7"/>
    <mergeCell ref="G7:M7"/>
    <mergeCell ref="N7:Q7"/>
    <mergeCell ref="R7:T7"/>
    <mergeCell ref="U7:W7"/>
    <mergeCell ref="X7:Z7"/>
    <mergeCell ref="X1:Z3"/>
    <mergeCell ref="B9:E9"/>
    <mergeCell ref="R9:S9"/>
    <mergeCell ref="U9:V9"/>
    <mergeCell ref="X9:Y9"/>
    <mergeCell ref="B10:E10"/>
    <mergeCell ref="R10:S10"/>
    <mergeCell ref="U10:V10"/>
    <mergeCell ref="X10:Y10"/>
    <mergeCell ref="AB7:AH7"/>
    <mergeCell ref="B13:E13"/>
    <mergeCell ref="R13:S13"/>
    <mergeCell ref="U13:V13"/>
    <mergeCell ref="X13:Y13"/>
    <mergeCell ref="B14:E14"/>
    <mergeCell ref="R14:S14"/>
    <mergeCell ref="U14:V14"/>
    <mergeCell ref="X14:Y14"/>
    <mergeCell ref="B11:E11"/>
    <mergeCell ref="R11:S11"/>
    <mergeCell ref="U11:V11"/>
    <mergeCell ref="X11:Y11"/>
    <mergeCell ref="B12:E12"/>
    <mergeCell ref="R12:S12"/>
    <mergeCell ref="U12:V12"/>
    <mergeCell ref="X12:Y12"/>
    <mergeCell ref="B17:E17"/>
    <mergeCell ref="R17:S17"/>
    <mergeCell ref="U17:V17"/>
    <mergeCell ref="X17:Y17"/>
    <mergeCell ref="B18:E18"/>
    <mergeCell ref="R18:S18"/>
    <mergeCell ref="U18:V18"/>
    <mergeCell ref="X18:Y18"/>
    <mergeCell ref="B15:E15"/>
    <mergeCell ref="R15:S15"/>
    <mergeCell ref="U15:V15"/>
    <mergeCell ref="X15:Y15"/>
    <mergeCell ref="B16:E16"/>
    <mergeCell ref="R16:S16"/>
    <mergeCell ref="U16:V16"/>
    <mergeCell ref="X16:Y16"/>
    <mergeCell ref="B21:E21"/>
    <mergeCell ref="R21:S21"/>
    <mergeCell ref="U21:V21"/>
    <mergeCell ref="X21:Y21"/>
    <mergeCell ref="B22:E22"/>
    <mergeCell ref="R22:S22"/>
    <mergeCell ref="U22:V22"/>
    <mergeCell ref="X22:Y22"/>
    <mergeCell ref="B19:E19"/>
    <mergeCell ref="R19:S19"/>
    <mergeCell ref="U19:V19"/>
    <mergeCell ref="X19:Y19"/>
    <mergeCell ref="B20:E20"/>
    <mergeCell ref="R20:S20"/>
    <mergeCell ref="U20:V20"/>
    <mergeCell ref="X20:Y20"/>
    <mergeCell ref="B25:E25"/>
    <mergeCell ref="R25:S25"/>
    <mergeCell ref="U25:V25"/>
    <mergeCell ref="X25:Y25"/>
    <mergeCell ref="B26:E26"/>
    <mergeCell ref="R26:S26"/>
    <mergeCell ref="U26:V26"/>
    <mergeCell ref="X26:Y26"/>
    <mergeCell ref="B23:E23"/>
    <mergeCell ref="R23:S23"/>
    <mergeCell ref="U23:V23"/>
    <mergeCell ref="X23:Y23"/>
    <mergeCell ref="B24:E24"/>
    <mergeCell ref="R24:S24"/>
    <mergeCell ref="U24:V24"/>
    <mergeCell ref="X24:Y24"/>
    <mergeCell ref="B29:E29"/>
    <mergeCell ref="R29:S29"/>
    <mergeCell ref="U29:V29"/>
    <mergeCell ref="X29:Y29"/>
    <mergeCell ref="B30:E30"/>
    <mergeCell ref="R30:S30"/>
    <mergeCell ref="U30:V30"/>
    <mergeCell ref="X30:Y30"/>
    <mergeCell ref="B27:E27"/>
    <mergeCell ref="R27:S27"/>
    <mergeCell ref="U27:V27"/>
    <mergeCell ref="X27:Y27"/>
    <mergeCell ref="B28:E28"/>
    <mergeCell ref="R28:S28"/>
    <mergeCell ref="U28:V28"/>
    <mergeCell ref="X28:Y28"/>
    <mergeCell ref="B33:E33"/>
    <mergeCell ref="R33:S33"/>
    <mergeCell ref="U33:V33"/>
    <mergeCell ref="X33:Y33"/>
    <mergeCell ref="B34:E34"/>
    <mergeCell ref="R34:S34"/>
    <mergeCell ref="U34:V34"/>
    <mergeCell ref="X34:Y34"/>
    <mergeCell ref="B31:E31"/>
    <mergeCell ref="R31:S31"/>
    <mergeCell ref="U31:V31"/>
    <mergeCell ref="X31:Y31"/>
    <mergeCell ref="B32:E32"/>
    <mergeCell ref="R32:S32"/>
    <mergeCell ref="U32:V32"/>
    <mergeCell ref="X32:Y32"/>
    <mergeCell ref="B37:E37"/>
    <mergeCell ref="R37:S37"/>
    <mergeCell ref="U37:V37"/>
    <mergeCell ref="X37:Y37"/>
    <mergeCell ref="B38:E38"/>
    <mergeCell ref="R38:S38"/>
    <mergeCell ref="U38:V38"/>
    <mergeCell ref="X38:Y38"/>
    <mergeCell ref="B35:E35"/>
    <mergeCell ref="R35:S35"/>
    <mergeCell ref="U35:V35"/>
    <mergeCell ref="X35:Y35"/>
    <mergeCell ref="B36:E36"/>
    <mergeCell ref="R36:S36"/>
    <mergeCell ref="U36:V36"/>
    <mergeCell ref="X36:Y36"/>
    <mergeCell ref="B41:E41"/>
    <mergeCell ref="R41:S41"/>
    <mergeCell ref="U41:V41"/>
    <mergeCell ref="X41:Y41"/>
    <mergeCell ref="B42:E42"/>
    <mergeCell ref="R42:S42"/>
    <mergeCell ref="U42:V42"/>
    <mergeCell ref="X42:Y42"/>
    <mergeCell ref="B39:E39"/>
    <mergeCell ref="R39:S39"/>
    <mergeCell ref="U39:V39"/>
    <mergeCell ref="X39:Y39"/>
    <mergeCell ref="B40:E40"/>
    <mergeCell ref="R40:S40"/>
    <mergeCell ref="U40:V40"/>
    <mergeCell ref="X40:Y40"/>
    <mergeCell ref="B44:Z45"/>
    <mergeCell ref="B46:D49"/>
    <mergeCell ref="E46:M47"/>
    <mergeCell ref="N46:Q46"/>
    <mergeCell ref="R46:T46"/>
    <mergeCell ref="U46:W46"/>
    <mergeCell ref="X46:Z46"/>
    <mergeCell ref="E49:H49"/>
    <mergeCell ref="I49:L49"/>
    <mergeCell ref="M49:O49"/>
    <mergeCell ref="P49:S49"/>
    <mergeCell ref="T49:V49"/>
    <mergeCell ref="W49:Z49"/>
    <mergeCell ref="AK46:AL46"/>
    <mergeCell ref="R47:S47"/>
    <mergeCell ref="U47:V47"/>
    <mergeCell ref="X47:Y47"/>
    <mergeCell ref="E48:J48"/>
    <mergeCell ref="K48:M48"/>
    <mergeCell ref="N48:O48"/>
    <mergeCell ref="P48:U48"/>
    <mergeCell ref="V48:X48"/>
    <mergeCell ref="Y48:Z48"/>
  </mergeCells>
  <phoneticPr fontId="3"/>
  <dataValidations count="7">
    <dataValidation type="list" allowBlank="1" showInputMessage="1" showErrorMessage="1" sqref="F8:F42" xr:uid="{B1491285-2551-4B22-9BFC-91D2575FBB57}">
      <formula1>$AQ$4:$AQ$5</formula1>
    </dataValidation>
    <dataValidation type="list" allowBlank="1" showInputMessage="1" showErrorMessage="1" sqref="U3:W3" xr:uid="{A427604A-A2A1-43C4-B657-30ABBB238940}">
      <formula1>"４～６月,７～９月,10月～12月,１月～３月"</formula1>
    </dataValidation>
    <dataValidation type="list" allowBlank="1" showInputMessage="1" showErrorMessage="1" sqref="G8:G42 K8:K42" xr:uid="{0C121666-BAC5-4A0A-9F81-7AD9B29F30E4}">
      <formula1>"0,1,2,3,4,5,6,7,8,9,10,11,12,13,14,15,16,17,18,19,20,21,22,23,24"</formula1>
    </dataValidation>
    <dataValidation type="list" allowBlank="1" showInputMessage="1" showErrorMessage="1" sqref="K43 I43 D43 G43" xr:uid="{8EE0DC39-65DE-4390-A396-1A7C3738A1D3}">
      <formula1>#REF!</formula1>
    </dataValidation>
    <dataValidation type="list" allowBlank="1" showInputMessage="1" showErrorMessage="1" sqref="I8:I42 M8:M42" xr:uid="{F2B605A9-002E-4ECE-902F-FBB5F55D669B}">
      <formula1>"00,05,10,15,20,25,30,35,40,45,50,55"</formula1>
    </dataValidation>
    <dataValidation allowBlank="1" showInputMessage="1" sqref="B44" xr:uid="{CCEA564E-590F-47CE-A125-A3E0AC199FBE}"/>
    <dataValidation type="list" allowBlank="1" showInputMessage="1" showErrorMessage="1" sqref="B43" xr:uid="{E1423D4E-6B73-4A08-B01C-0DD86BD67CB3}">
      <formula1>"4,5,6,7,8,9,10,11,12,1,2,3"</formula1>
    </dataValidation>
  </dataValidations>
  <pageMargins left="0.51181102362204722" right="0.51181102362204722" top="0.35433070866141736" bottom="0.35433070866141736" header="0.31496062992125984" footer="0.31496062992125984"/>
  <pageSetup paperSize="9" scale="58"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利用内訳表</vt:lpstr>
      <vt:lpstr>記入例</vt:lpstr>
      <vt:lpstr>記入例!Print_Area</vt:lpstr>
      <vt:lpstr>利用内訳表!Print_Area</vt:lpstr>
    </vt:vector>
  </TitlesOfParts>
  <Company>国立市役所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祐</dc:creator>
  <cp:lastModifiedBy>河合　勇貴</cp:lastModifiedBy>
  <cp:lastPrinted>2026-08-04T02:33:26Z</cp:lastPrinted>
  <dcterms:created xsi:type="dcterms:W3CDTF">2026-04-21T01:45:47Z</dcterms:created>
  <dcterms:modified xsi:type="dcterms:W3CDTF">2026-08-04T02:34:32Z</dcterms:modified>
</cp:coreProperties>
</file>